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sro\Desktop\EMILY\PC Files 2023-24\Budgets\"/>
    </mc:Choice>
  </mc:AlternateContent>
  <xr:revisionPtr revIDLastSave="0" documentId="8_{9AC3A193-6E37-4A47-836A-8FE36DAD00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diture Charity" sheetId="1" r:id="rId1"/>
    <sheet name="Expenditure Council" sheetId="3" r:id="rId2"/>
    <sheet name="Income Charity" sheetId="2" r:id="rId3"/>
    <sheet name="Income Council" sheetId="4" r:id="rId4"/>
    <sheet name="Budget Forecast " sheetId="5" r:id="rId5"/>
  </sheets>
  <definedNames>
    <definedName name="_xlnm.Print_Area" localSheetId="0">'Expenditure Charity'!$A$1:$K$67</definedName>
    <definedName name="_xlnm.Print_Area" localSheetId="1">'Expenditure Council'!$A$1:$K$53</definedName>
    <definedName name="_xlnm.Print_Titles" localSheetId="0">'Expenditure Charity'!$1:$1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5" l="1"/>
  <c r="F11" i="5"/>
  <c r="F10" i="5"/>
  <c r="F3" i="5"/>
  <c r="F2" i="5"/>
  <c r="G4" i="5"/>
  <c r="J41" i="1"/>
  <c r="J38" i="1"/>
  <c r="H40" i="1"/>
  <c r="H28" i="1"/>
  <c r="K65" i="1" l="1"/>
  <c r="K51" i="3" l="1"/>
  <c r="G17" i="2"/>
  <c r="G22" i="2" s="1"/>
  <c r="G15" i="4"/>
  <c r="G5" i="4"/>
  <c r="D25" i="2"/>
  <c r="D14" i="2"/>
  <c r="E9" i="2" l="1"/>
  <c r="E6" i="2"/>
  <c r="E4" i="2"/>
  <c r="H4" i="1"/>
  <c r="H5" i="1"/>
  <c r="H6" i="1"/>
  <c r="H7" i="1"/>
  <c r="H8" i="1"/>
  <c r="H10" i="1"/>
  <c r="H12" i="1"/>
  <c r="H13" i="1"/>
  <c r="H14" i="1"/>
  <c r="H15" i="1"/>
  <c r="H16" i="1"/>
  <c r="H18" i="1"/>
  <c r="H20" i="1"/>
  <c r="H23" i="1"/>
  <c r="H24" i="1"/>
  <c r="H25" i="1"/>
  <c r="H29" i="1"/>
  <c r="J29" i="1" s="1"/>
  <c r="H30" i="1"/>
  <c r="J30" i="1" s="1"/>
  <c r="H32" i="1"/>
  <c r="H33" i="1"/>
  <c r="H34" i="1"/>
  <c r="H35" i="1"/>
  <c r="H36" i="1"/>
  <c r="H45" i="1"/>
  <c r="H46" i="1"/>
  <c r="H47" i="1"/>
  <c r="H57" i="1"/>
  <c r="H58" i="1"/>
  <c r="H3" i="1"/>
  <c r="F8" i="3"/>
  <c r="F3" i="3"/>
  <c r="H4" i="3" l="1"/>
  <c r="H5" i="3"/>
  <c r="H6" i="3"/>
  <c r="H7" i="3"/>
  <c r="H9" i="3"/>
  <c r="H12" i="3"/>
  <c r="H14" i="3"/>
  <c r="H15" i="3"/>
  <c r="H16" i="3"/>
  <c r="H21" i="3"/>
  <c r="H22" i="3"/>
  <c r="H23" i="3"/>
  <c r="H26" i="3"/>
  <c r="H27" i="3"/>
  <c r="H29" i="3"/>
  <c r="H34" i="3"/>
  <c r="H37" i="3"/>
  <c r="H38" i="3"/>
  <c r="H39" i="3"/>
  <c r="H40" i="3"/>
  <c r="H41" i="3"/>
  <c r="H42" i="3"/>
  <c r="H3" i="3"/>
  <c r="F3" i="4"/>
  <c r="F4" i="4"/>
  <c r="F5" i="4"/>
  <c r="F6" i="4"/>
  <c r="F7" i="4"/>
  <c r="F8" i="4"/>
  <c r="F9" i="4"/>
  <c r="F11" i="4"/>
  <c r="H51" i="3" l="1"/>
  <c r="B8" i="5"/>
  <c r="F4" i="2"/>
  <c r="F6" i="2"/>
  <c r="F7" i="2"/>
  <c r="F9" i="2"/>
  <c r="F10" i="2"/>
  <c r="F11" i="2"/>
  <c r="F13" i="2"/>
  <c r="J31" i="3"/>
  <c r="J32" i="3"/>
  <c r="J33" i="3"/>
  <c r="J34" i="3"/>
  <c r="J37" i="3"/>
  <c r="J38" i="3"/>
  <c r="J28" i="3"/>
  <c r="J29" i="3"/>
  <c r="J26" i="3"/>
  <c r="J22" i="3"/>
  <c r="F51" i="3"/>
  <c r="J56" i="1"/>
  <c r="J57" i="1"/>
  <c r="J58" i="1"/>
  <c r="J60" i="1"/>
  <c r="J19" i="1"/>
  <c r="J50" i="1"/>
  <c r="J6" i="3"/>
  <c r="J9" i="3"/>
  <c r="J12" i="3"/>
  <c r="J13" i="3"/>
  <c r="J15" i="3"/>
  <c r="J19" i="3"/>
  <c r="J20" i="3"/>
  <c r="J23" i="3"/>
  <c r="J24" i="3"/>
  <c r="J27" i="3"/>
  <c r="J39" i="3"/>
  <c r="J40" i="3"/>
  <c r="J42" i="3"/>
  <c r="J44" i="3"/>
  <c r="C15" i="4"/>
  <c r="B15" i="4"/>
  <c r="F8" i="2"/>
  <c r="F5" i="2"/>
  <c r="F3" i="2"/>
  <c r="C3" i="2"/>
  <c r="C17" i="2" s="1"/>
  <c r="C22" i="2" s="1"/>
  <c r="B17" i="2"/>
  <c r="B22" i="2" s="1"/>
  <c r="B30" i="2" s="1"/>
  <c r="B32" i="2" s="1"/>
  <c r="F49" i="1" l="1"/>
  <c r="H49" i="1" s="1"/>
  <c r="F43" i="1"/>
  <c r="H43" i="1" s="1"/>
  <c r="F37" i="1"/>
  <c r="H37" i="1" s="1"/>
  <c r="F26" i="1"/>
  <c r="F22" i="1"/>
  <c r="H22" i="1" s="1"/>
  <c r="J20" i="1"/>
  <c r="F17" i="1"/>
  <c r="H17" i="1" s="1"/>
  <c r="H65" i="1" s="1"/>
  <c r="F65" i="1"/>
  <c r="J26" i="1" l="1"/>
  <c r="J43" i="1"/>
  <c r="J25" i="1"/>
  <c r="D65" i="1"/>
  <c r="B65" i="1"/>
  <c r="J45" i="1" l="1"/>
  <c r="J46" i="1"/>
  <c r="J47" i="1"/>
  <c r="J48" i="1"/>
  <c r="J49" i="1"/>
  <c r="D8" i="5"/>
  <c r="E15" i="4"/>
  <c r="D15" i="4"/>
  <c r="F15" i="4" s="1"/>
  <c r="J8" i="3" l="1"/>
  <c r="J55" i="1"/>
  <c r="J16" i="3" l="1"/>
  <c r="J4" i="3"/>
  <c r="E32" i="5"/>
  <c r="C53" i="3"/>
  <c r="J5" i="3"/>
  <c r="J21" i="3"/>
  <c r="J7" i="3" l="1"/>
  <c r="J65" i="1" l="1"/>
  <c r="J40" i="1"/>
  <c r="J28" i="1"/>
  <c r="J32" i="1"/>
  <c r="J34" i="1"/>
  <c r="J37" i="1"/>
  <c r="J23" i="1"/>
  <c r="J10" i="1"/>
  <c r="J11" i="1"/>
  <c r="J12" i="1"/>
  <c r="J13" i="1"/>
  <c r="J16" i="1"/>
  <c r="J18" i="1"/>
  <c r="J3" i="1"/>
  <c r="J4" i="1"/>
  <c r="J5" i="1"/>
  <c r="J6" i="1"/>
  <c r="J7" i="1"/>
  <c r="J24" i="1"/>
  <c r="J33" i="1"/>
  <c r="J35" i="1"/>
  <c r="J36" i="1"/>
  <c r="J22" i="1"/>
  <c r="J14" i="1"/>
  <c r="J15" i="1"/>
  <c r="J17" i="1"/>
  <c r="B32" i="5" l="1"/>
  <c r="B25" i="5" s="1"/>
  <c r="J25" i="3" l="1"/>
  <c r="J14" i="3" l="1"/>
  <c r="J51" i="3"/>
  <c r="E12" i="2" l="1"/>
  <c r="F2" i="2"/>
  <c r="J3" i="3" l="1"/>
  <c r="D12" i="5" l="1"/>
  <c r="C2" i="3" l="1"/>
  <c r="I42" i="1"/>
  <c r="I40" i="1"/>
  <c r="G65" i="1"/>
  <c r="G62" i="1"/>
  <c r="G38" i="1"/>
  <c r="C38" i="1"/>
  <c r="C30" i="1"/>
  <c r="C20" i="1"/>
  <c r="C8" i="1"/>
  <c r="C2" i="1"/>
  <c r="E12" i="5" l="1"/>
  <c r="F12" i="5" s="1"/>
  <c r="C12" i="5"/>
  <c r="C4" i="5"/>
  <c r="B7" i="5"/>
  <c r="I31" i="3" l="1"/>
  <c r="I30" i="1"/>
  <c r="E17" i="2" l="1"/>
  <c r="I35" i="3"/>
  <c r="I32" i="3"/>
  <c r="I30" i="3"/>
  <c r="I11" i="3"/>
  <c r="I2" i="3"/>
  <c r="I33" i="3"/>
  <c r="I18" i="3"/>
  <c r="I38" i="1"/>
  <c r="I20" i="1"/>
  <c r="I2" i="1"/>
  <c r="G40" i="1"/>
  <c r="E22" i="2" l="1"/>
  <c r="E30" i="2" s="1"/>
  <c r="E32" i="2" s="1"/>
  <c r="I50" i="3"/>
  <c r="E4" i="5"/>
  <c r="F4" i="5" s="1"/>
  <c r="D4" i="5"/>
  <c r="G35" i="3"/>
  <c r="G48" i="3"/>
  <c r="G33" i="3"/>
  <c r="G32" i="3"/>
  <c r="G31" i="3"/>
  <c r="G30" i="3"/>
  <c r="G18" i="3"/>
  <c r="G11" i="3"/>
  <c r="G2" i="3"/>
  <c r="E2" i="3"/>
  <c r="D17" i="2"/>
  <c r="D22" i="2" s="1"/>
  <c r="C42" i="1"/>
  <c r="C63" i="1"/>
  <c r="E42" i="1"/>
  <c r="E40" i="1"/>
  <c r="E38" i="1"/>
  <c r="E30" i="1"/>
  <c r="E20" i="1"/>
  <c r="E8" i="1"/>
  <c r="E2" i="1"/>
  <c r="G42" i="1"/>
  <c r="G30" i="1"/>
  <c r="G20" i="1"/>
  <c r="G8" i="1"/>
  <c r="G2" i="1"/>
  <c r="B20" i="4"/>
  <c r="B22" i="4" s="1"/>
  <c r="B24" i="4" s="1"/>
  <c r="B4" i="5"/>
  <c r="B9" i="5" s="1"/>
  <c r="B12" i="5"/>
  <c r="C40" i="1"/>
  <c r="F22" i="2" l="1"/>
  <c r="D30" i="2"/>
  <c r="D32" i="2" s="1"/>
  <c r="E8" i="5"/>
  <c r="E9" i="5" s="1"/>
  <c r="E13" i="5" s="1"/>
  <c r="G8" i="5" s="1"/>
  <c r="G9" i="5" s="1"/>
  <c r="G13" i="5" s="1"/>
  <c r="D20" i="4"/>
  <c r="D22" i="4" s="1"/>
  <c r="D24" i="4" s="1"/>
  <c r="E20" i="4"/>
  <c r="E22" i="4" s="1"/>
  <c r="E24" i="4" s="1"/>
  <c r="F17" i="2"/>
  <c r="C64" i="1"/>
  <c r="I8" i="1"/>
  <c r="I64" i="1" s="1"/>
  <c r="B13" i="5"/>
  <c r="G50" i="3"/>
  <c r="G64" i="1"/>
  <c r="D9" i="5" l="1"/>
  <c r="C8" i="5"/>
  <c r="C9" i="5" s="1"/>
  <c r="C13" i="5" s="1"/>
  <c r="D13" i="5" l="1"/>
</calcChain>
</file>

<file path=xl/sharedStrings.xml><?xml version="1.0" encoding="utf-8"?>
<sst xmlns="http://schemas.openxmlformats.org/spreadsheetml/2006/main" count="214" uniqueCount="178">
  <si>
    <t>Sub-Totals</t>
  </si>
  <si>
    <t>EMPLOYEES</t>
  </si>
  <si>
    <t>VILLAGE HALL</t>
  </si>
  <si>
    <t>Gas</t>
  </si>
  <si>
    <t>Electricity</t>
  </si>
  <si>
    <t>Water</t>
  </si>
  <si>
    <t>OUTDOOR COMMITMENTS</t>
  </si>
  <si>
    <t>Street Lighting Energy</t>
  </si>
  <si>
    <t>ADMINISTRATION</t>
  </si>
  <si>
    <t>Insurance</t>
  </si>
  <si>
    <t>Audit Fees</t>
  </si>
  <si>
    <t>SUBSCRIPTIONS</t>
  </si>
  <si>
    <t xml:space="preserve">Previous year creditors </t>
  </si>
  <si>
    <t>VAT</t>
  </si>
  <si>
    <t>Income</t>
  </si>
  <si>
    <t>Car Park Rent</t>
  </si>
  <si>
    <t>Allotment Rents</t>
  </si>
  <si>
    <t>Village Hall Lettings</t>
  </si>
  <si>
    <t>Bank Interest</t>
  </si>
  <si>
    <t>Precept</t>
  </si>
  <si>
    <t>VAT Reclaimed</t>
  </si>
  <si>
    <t>Sub-Total</t>
  </si>
  <si>
    <t>Total Sum available</t>
  </si>
  <si>
    <t xml:space="preserve"> Balance C/Fwd.</t>
  </si>
  <si>
    <t>Payment of Previous Year Debts</t>
  </si>
  <si>
    <t xml:space="preserve"> </t>
  </si>
  <si>
    <t>RFO Salary 20%</t>
  </si>
  <si>
    <t>Clerk's Salary 20%</t>
  </si>
  <si>
    <t xml:space="preserve">Less  Expenditure of Charity </t>
  </si>
  <si>
    <t>Total Combined Expenditure</t>
  </si>
  <si>
    <t>Less  Expenditure Council</t>
  </si>
  <si>
    <t>Insurance split</t>
  </si>
  <si>
    <t>Council Tax</t>
  </si>
  <si>
    <t>TOTALS</t>
  </si>
  <si>
    <t>COUNCIL INCOME TOTALS</t>
  </si>
  <si>
    <t>Play Equipment Renewal</t>
  </si>
  <si>
    <t>EXPENDITURE</t>
  </si>
  <si>
    <t>INCOME</t>
  </si>
  <si>
    <t>CHARITY INCOME TOTALS</t>
  </si>
  <si>
    <t>Total Combined Income</t>
  </si>
  <si>
    <t>Balances B/f</t>
  </si>
  <si>
    <t>National Insurance PAYE (Employers)</t>
  </si>
  <si>
    <t>Payment of Previous Year Debtors</t>
  </si>
  <si>
    <t>CBC Public Toilets Grant &amp; Rates Refund</t>
  </si>
  <si>
    <t>Postage</t>
  </si>
  <si>
    <t xml:space="preserve">MISCELLANEOUS </t>
  </si>
  <si>
    <t>Insurance split  (Play Equip/MUGA/Sports Pav)</t>
  </si>
  <si>
    <t>Budget Balance 5% Contingency</t>
  </si>
  <si>
    <t>NOTES:</t>
  </si>
  <si>
    <t xml:space="preserve">MISCELLANEOUS - </t>
  </si>
  <si>
    <t>Budget Balance 5% contingency</t>
  </si>
  <si>
    <t>DONATIONS - Section 137 Exp.</t>
  </si>
  <si>
    <t>Training</t>
  </si>
  <si>
    <t xml:space="preserve">GRANTS - </t>
  </si>
  <si>
    <t xml:space="preserve">Less  EXPENDITURE of Charity </t>
  </si>
  <si>
    <t>Less  EXPENDITURE of Council</t>
  </si>
  <si>
    <t>INCOME Charity Totals</t>
  </si>
  <si>
    <t>INCOME Council Totals</t>
  </si>
  <si>
    <t>Sub-totals</t>
  </si>
  <si>
    <t>Subtotals</t>
  </si>
  <si>
    <t>Amount left from budget at year end</t>
  </si>
  <si>
    <t>%age of budget</t>
  </si>
  <si>
    <t>%age of budget received</t>
  </si>
  <si>
    <t>Broadband</t>
  </si>
  <si>
    <t>Allotments - water &amp; maintenance</t>
  </si>
  <si>
    <t>Computer/Travel/Phone Allowance</t>
  </si>
  <si>
    <t>Payroll</t>
  </si>
  <si>
    <t>Internet Web Services</t>
  </si>
  <si>
    <t>General Admin - Printing, Stationery, Bank charges</t>
  </si>
  <si>
    <t>Replacement Street Lighting Columns &amp; LEDs</t>
  </si>
  <si>
    <t>Annexe Lettings</t>
  </si>
  <si>
    <t>King George V Hall Lettings</t>
  </si>
  <si>
    <t>Funds transferred from PC</t>
  </si>
  <si>
    <t>Running costs - window clng, ins, toilets etc</t>
  </si>
  <si>
    <t>KING GEORGE V HALL</t>
  </si>
  <si>
    <t>Ground Mowing/Gardening (War Memorial etc)</t>
  </si>
  <si>
    <t>Water   (incl.KGV Hall)</t>
  </si>
  <si>
    <t>Recreation Ground Mowing</t>
  </si>
  <si>
    <t>Trees</t>
  </si>
  <si>
    <t>Sports Clubs - Football, Cricket, Tennis</t>
  </si>
  <si>
    <t>Funds to KGV Charity</t>
  </si>
  <si>
    <t>C/Fwd Total</t>
  </si>
  <si>
    <t>CHARITY</t>
  </si>
  <si>
    <t>Total</t>
  </si>
  <si>
    <t>PARISH COUNCIL</t>
  </si>
  <si>
    <t>Cleaning Contract 40%</t>
  </si>
  <si>
    <t>Hall &amp; Toilet Supplies</t>
  </si>
  <si>
    <t>Cleaning Contract 20%</t>
  </si>
  <si>
    <t>Maintenance and Repairs</t>
  </si>
  <si>
    <t>Subscriptions &amp; PRS</t>
  </si>
  <si>
    <t>SPECIAL PROJECTS</t>
  </si>
  <si>
    <t>Grants - CBC</t>
  </si>
  <si>
    <t>PC Office Rent</t>
  </si>
  <si>
    <t>Clerk's Salary</t>
  </si>
  <si>
    <t>RFO Salary</t>
  </si>
  <si>
    <t>PC Office Rent (to KGV Charity)</t>
  </si>
  <si>
    <t>Maintenance &amp; Repairs</t>
  </si>
  <si>
    <t>VH House rental</t>
  </si>
  <si>
    <t>Electricity (incl.KGV Hall)</t>
  </si>
  <si>
    <t>VH House Maintenance</t>
  </si>
  <si>
    <t>Handyman</t>
  </si>
  <si>
    <t>ANNEXE REDEVELOPMENT</t>
  </si>
  <si>
    <t>Demolish &amp; rebuild costs</t>
  </si>
  <si>
    <t>Landscaping/Friendly Bench</t>
  </si>
  <si>
    <t>Oak Gates</t>
  </si>
  <si>
    <t>Insurance Split</t>
  </si>
  <si>
    <t>Bookings Assistant</t>
  </si>
  <si>
    <t>Employers Pension 100% (3%)</t>
  </si>
  <si>
    <t>Prepaid Credit card</t>
  </si>
  <si>
    <t>PWLB Loan Costs (£1500/mth)</t>
  </si>
  <si>
    <t>(solicitor)</t>
  </si>
  <si>
    <t>plaque, poppies, engraving, AGM</t>
  </si>
  <si>
    <t>Finding Fitness Holiday Clubs - grant funded</t>
  </si>
  <si>
    <t>Credit card payments for charity items</t>
  </si>
  <si>
    <t>Grants - national lottery, plastic free</t>
  </si>
  <si>
    <t>Aviva Insurance claim for lamppost</t>
  </si>
  <si>
    <t>Christmas Lights</t>
  </si>
  <si>
    <t>ALLOCATED FUNDS in BUDGET = NOT DUE TO BE SPENT THIS YEAR</t>
  </si>
  <si>
    <t>MID TERM MODIFICATIONS</t>
  </si>
  <si>
    <t>PWLB LOAN</t>
  </si>
  <si>
    <t>Premises Manager</t>
  </si>
  <si>
    <t>Facilities Officer</t>
  </si>
  <si>
    <t>Project management costs (50% from WESG)</t>
  </si>
  <si>
    <t>Templesmith Builders (383500)</t>
  </si>
  <si>
    <t>Pre-work -drawings, planning</t>
  </si>
  <si>
    <t>Spend to 31/03/23</t>
  </si>
  <si>
    <t>Approved Budget 2023/24</t>
  </si>
  <si>
    <t>Budget 2023/24</t>
  </si>
  <si>
    <t>Received at 31/03/23</t>
  </si>
  <si>
    <t>Clerks assistant wages</t>
  </si>
  <si>
    <t>Clerk Pension (5%)</t>
  </si>
  <si>
    <t>Premises Manager pension</t>
  </si>
  <si>
    <t>National Insurance (Employers) PAYE</t>
  </si>
  <si>
    <t>Gordon Watson Settlement</t>
  </si>
  <si>
    <t>Personnel Consultancy</t>
  </si>
  <si>
    <t>Misc - ax contents</t>
  </si>
  <si>
    <t>Donations - WI clock, benches</t>
  </si>
  <si>
    <t>Expected Spend to 31/03/24</t>
  </si>
  <si>
    <t>Expected Income to 31/03/24</t>
  </si>
  <si>
    <t>Balance B/f 01/04/23</t>
  </si>
  <si>
    <t>Balance B/fwd 01/04/23</t>
  </si>
  <si>
    <t>Year End Figures 31/03/23</t>
  </si>
  <si>
    <t>Estimated Figures at Y/E 31/03/24</t>
  </si>
  <si>
    <t>YOUTH &amp; COMMUNITY HALL</t>
  </si>
  <si>
    <t>WEGS/Shanly - donations for new build</t>
  </si>
  <si>
    <t xml:space="preserve">4)  Delayed spending on special projects/allocated funds and higher donations has seen the building project paid for, without the need for a loan.  </t>
  </si>
  <si>
    <t>Spend to 22/10/23</t>
  </si>
  <si>
    <t>Proposed Budget 2024/25</t>
  </si>
  <si>
    <t>Amount Spent to 22/10/23</t>
  </si>
  <si>
    <t>Received at 22 October 2023</t>
  </si>
  <si>
    <t>Year to date to 22/10/23</t>
  </si>
  <si>
    <t>Public Toilets - cleaning, water, maintenance</t>
  </si>
  <si>
    <t>keys, batteries</t>
  </si>
  <si>
    <t>Donations - wi plaque</t>
  </si>
  <si>
    <t xml:space="preserve">MISC - ins refund, vh house deposit </t>
  </si>
  <si>
    <t>5% increase</t>
  </si>
  <si>
    <t>Sports Pavilion - Maint/repairs, elec, water</t>
  </si>
  <si>
    <t>Inspections - electrical, gas, landlord, water, fire, flat roof, sliding doors</t>
  </si>
  <si>
    <t>General Administration, incl. planyo, bank, stripe charges &amp; postage</t>
  </si>
  <si>
    <t>1)  Figure in red is current bank balance</t>
  </si>
  <si>
    <t>2)  The KGV Charity has had £53833 from the PC this year to fund costs.</t>
  </si>
  <si>
    <t>Fencing</t>
  </si>
  <si>
    <t>Retainer</t>
  </si>
  <si>
    <t>Play Area Equipment</t>
  </si>
  <si>
    <t>3)  The combined c/fwd figure is estimated to be £121524 at y/e 31/03/24.</t>
  </si>
  <si>
    <t>Sound panels YCH</t>
  </si>
  <si>
    <t>VH Repairs - painting, roof, toilets, hand driers, cctv</t>
  </si>
  <si>
    <t>Other - skip, video tour, signs</t>
  </si>
  <si>
    <t>Fittings, Maint/Repairs - floor, heaters</t>
  </si>
  <si>
    <t>Maintenance - incl. play area inspections, compost, cricket pitch, weed play area, clean MUGA, compacting</t>
  </si>
  <si>
    <t>Play area fencing</t>
  </si>
  <si>
    <t>Pavilion Refurbishment</t>
  </si>
  <si>
    <t>Play Equipment relocation</t>
  </si>
  <si>
    <t>Village Green</t>
  </si>
  <si>
    <t>Maintenance &amp; repairs - benches</t>
  </si>
  <si>
    <t>Other - parish clock, hanging baskets</t>
  </si>
  <si>
    <t>Bus Shelter/War memorial/Bulls Head/Phone Box</t>
  </si>
  <si>
    <t>5)  A £50,000 budget for the village green project has been included for 2024/5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</si>
</sst>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[Red]\-0\ "/>
  </numFmts>
  <fonts count="3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b/>
      <sz val="9"/>
      <color theme="1"/>
      <name val="Arial"/>
      <family val="2"/>
    </font>
    <font>
      <b/>
      <sz val="9"/>
      <color rgb="FF0070C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70C0"/>
      <name val="Arial"/>
      <family val="2"/>
    </font>
    <font>
      <sz val="9"/>
      <color rgb="FF0070C0"/>
      <name val="Arial"/>
      <family val="2"/>
    </font>
    <font>
      <b/>
      <u/>
      <sz val="9"/>
      <color theme="1"/>
      <name val="Arial"/>
      <family val="2"/>
    </font>
    <font>
      <b/>
      <sz val="11"/>
      <color rgb="FF0070C0"/>
      <name val="Arial"/>
      <family val="2"/>
    </font>
    <font>
      <b/>
      <i/>
      <sz val="11"/>
      <color rgb="FF0070C0"/>
      <name val="Arial"/>
      <family val="2"/>
    </font>
    <font>
      <b/>
      <sz val="9"/>
      <color rgb="FFFF0000"/>
      <name val="Arial"/>
      <family val="2"/>
    </font>
    <font>
      <u/>
      <sz val="10"/>
      <name val="Arial"/>
      <family val="2"/>
    </font>
    <font>
      <sz val="9"/>
      <color rgb="FFFF0000"/>
      <name val="Arial"/>
      <family val="2"/>
    </font>
    <font>
      <b/>
      <u/>
      <sz val="10"/>
      <name val="Arial"/>
      <family val="2"/>
    </font>
    <font>
      <sz val="10"/>
      <color rgb="FF7030A0"/>
      <name val="Arial"/>
      <family val="2"/>
    </font>
    <font>
      <sz val="12"/>
      <color rgb="FF00B050"/>
      <name val="Arial"/>
      <family val="2"/>
    </font>
    <font>
      <u val="singleAccounting"/>
      <sz val="10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00B05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0" xfId="0" applyFont="1"/>
    <xf numFmtId="43" fontId="1" fillId="0" borderId="1" xfId="1" applyFont="1" applyBorder="1"/>
    <xf numFmtId="0" fontId="1" fillId="0" borderId="0" xfId="0" applyFont="1"/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11" fillId="0" borderId="1" xfId="0" applyFont="1" applyBorder="1"/>
    <xf numFmtId="2" fontId="1" fillId="0" borderId="1" xfId="0" applyNumberFormat="1" applyFont="1" applyBorder="1"/>
    <xf numFmtId="4" fontId="5" fillId="0" borderId="1" xfId="0" applyNumberFormat="1" applyFont="1" applyBorder="1"/>
    <xf numFmtId="4" fontId="6" fillId="0" borderId="1" xfId="0" applyNumberFormat="1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43" fontId="1" fillId="0" borderId="1" xfId="0" applyNumberFormat="1" applyFont="1" applyBorder="1" applyAlignment="1">
      <alignment vertical="center"/>
    </xf>
    <xf numFmtId="43" fontId="1" fillId="2" borderId="1" xfId="0" applyNumberFormat="1" applyFont="1" applyFill="1" applyBorder="1"/>
    <xf numFmtId="43" fontId="1" fillId="0" borderId="0" xfId="1" applyFont="1"/>
    <xf numFmtId="2" fontId="12" fillId="0" borderId="1" xfId="0" applyNumberFormat="1" applyFont="1" applyBorder="1"/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8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2" fontId="8" fillId="0" borderId="1" xfId="0" applyNumberFormat="1" applyFont="1" applyBorder="1" applyAlignment="1">
      <alignment vertical="center"/>
    </xf>
    <xf numFmtId="0" fontId="12" fillId="0" borderId="1" xfId="0" applyFont="1" applyBorder="1"/>
    <xf numFmtId="2" fontId="14" fillId="0" borderId="1" xfId="0" applyNumberFormat="1" applyFont="1" applyBorder="1"/>
    <xf numFmtId="2" fontId="15" fillId="0" borderId="1" xfId="0" applyNumberFormat="1" applyFont="1" applyBorder="1"/>
    <xf numFmtId="2" fontId="16" fillId="0" borderId="1" xfId="0" applyNumberFormat="1" applyFont="1" applyBorder="1" applyAlignment="1">
      <alignment wrapText="1"/>
    </xf>
    <xf numFmtId="2" fontId="17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/>
    <xf numFmtId="2" fontId="10" fillId="0" borderId="1" xfId="0" applyNumberFormat="1" applyFont="1" applyBorder="1"/>
    <xf numFmtId="2" fontId="19" fillId="0" borderId="1" xfId="0" applyNumberFormat="1" applyFont="1" applyBorder="1"/>
    <xf numFmtId="2" fontId="9" fillId="0" borderId="1" xfId="0" applyNumberFormat="1" applyFont="1" applyBorder="1"/>
    <xf numFmtId="2" fontId="20" fillId="0" borderId="1" xfId="0" applyNumberFormat="1" applyFont="1" applyBorder="1"/>
    <xf numFmtId="2" fontId="11" fillId="0" borderId="1" xfId="0" applyNumberFormat="1" applyFont="1" applyBorder="1"/>
    <xf numFmtId="2" fontId="10" fillId="0" borderId="1" xfId="0" applyNumberFormat="1" applyFont="1" applyBorder="1" applyProtection="1">
      <protection locked="0"/>
    </xf>
    <xf numFmtId="2" fontId="16" fillId="0" borderId="1" xfId="0" applyNumberFormat="1" applyFont="1" applyBorder="1"/>
    <xf numFmtId="2" fontId="10" fillId="0" borderId="1" xfId="0" applyNumberFormat="1" applyFont="1" applyBorder="1" applyAlignment="1">
      <alignment wrapText="1"/>
    </xf>
    <xf numFmtId="2" fontId="18" fillId="0" borderId="1" xfId="0" applyNumberFormat="1" applyFont="1" applyBorder="1"/>
    <xf numFmtId="9" fontId="2" fillId="0" borderId="1" xfId="0" applyNumberFormat="1" applyFont="1" applyBorder="1" applyAlignment="1">
      <alignment wrapText="1"/>
    </xf>
    <xf numFmtId="9" fontId="1" fillId="0" borderId="1" xfId="0" applyNumberFormat="1" applyFont="1" applyBorder="1"/>
    <xf numFmtId="0" fontId="22" fillId="0" borderId="1" xfId="0" applyFont="1" applyBorder="1" applyAlignment="1">
      <alignment wrapText="1"/>
    </xf>
    <xf numFmtId="0" fontId="22" fillId="0" borderId="1" xfId="0" applyFont="1" applyBorder="1"/>
    <xf numFmtId="2" fontId="23" fillId="0" borderId="1" xfId="0" applyNumberFormat="1" applyFont="1" applyBorder="1"/>
    <xf numFmtId="2" fontId="22" fillId="0" borderId="1" xfId="0" applyNumberFormat="1" applyFont="1" applyBorder="1"/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2" fontId="6" fillId="0" borderId="1" xfId="0" applyNumberFormat="1" applyFont="1" applyBorder="1"/>
    <xf numFmtId="0" fontId="24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/>
    <xf numFmtId="0" fontId="9" fillId="0" borderId="1" xfId="0" applyFont="1" applyBorder="1"/>
    <xf numFmtId="4" fontId="10" fillId="0" borderId="1" xfId="0" applyNumberFormat="1" applyFont="1" applyBorder="1" applyAlignment="1">
      <alignment horizontal="center" wrapText="1"/>
    </xf>
    <xf numFmtId="4" fontId="9" fillId="0" borderId="2" xfId="0" applyNumberFormat="1" applyFont="1" applyBorder="1"/>
    <xf numFmtId="4" fontId="9" fillId="0" borderId="1" xfId="0" applyNumberFormat="1" applyFont="1" applyBorder="1"/>
    <xf numFmtId="4" fontId="9" fillId="0" borderId="1" xfId="0" applyNumberFormat="1" applyFont="1" applyBorder="1" applyProtection="1">
      <protection locked="0"/>
    </xf>
    <xf numFmtId="43" fontId="9" fillId="0" borderId="1" xfId="0" applyNumberFormat="1" applyFont="1" applyBorder="1"/>
    <xf numFmtId="0" fontId="20" fillId="0" borderId="1" xfId="0" applyFont="1" applyBorder="1"/>
    <xf numFmtId="1" fontId="16" fillId="0" borderId="1" xfId="0" applyNumberFormat="1" applyFont="1" applyBorder="1" applyAlignment="1">
      <alignment wrapText="1"/>
    </xf>
    <xf numFmtId="1" fontId="18" fillId="0" borderId="1" xfId="0" applyNumberFormat="1" applyFont="1" applyBorder="1"/>
    <xf numFmtId="1" fontId="11" fillId="0" borderId="1" xfId="0" applyNumberFormat="1" applyFont="1" applyBorder="1"/>
    <xf numFmtId="1" fontId="1" fillId="0" borderId="1" xfId="0" applyNumberFormat="1" applyFont="1" applyBorder="1"/>
    <xf numFmtId="2" fontId="4" fillId="0" borderId="1" xfId="0" applyNumberFormat="1" applyFont="1" applyBorder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5" fillId="0" borderId="1" xfId="0" applyFont="1" applyBorder="1"/>
    <xf numFmtId="2" fontId="8" fillId="0" borderId="1" xfId="1" applyNumberFormat="1" applyFont="1" applyBorder="1"/>
    <xf numFmtId="164" fontId="9" fillId="0" borderId="1" xfId="0" applyNumberFormat="1" applyFont="1" applyBorder="1"/>
    <xf numFmtId="164" fontId="1" fillId="0" borderId="1" xfId="0" applyNumberFormat="1" applyFont="1" applyBorder="1"/>
    <xf numFmtId="164" fontId="6" fillId="0" borderId="1" xfId="0" applyNumberFormat="1" applyFont="1" applyBorder="1"/>
    <xf numFmtId="1" fontId="6" fillId="0" borderId="1" xfId="0" applyNumberFormat="1" applyFont="1" applyBorder="1"/>
    <xf numFmtId="1" fontId="2" fillId="0" borderId="1" xfId="0" applyNumberFormat="1" applyFont="1" applyBorder="1"/>
    <xf numFmtId="9" fontId="13" fillId="0" borderId="1" xfId="0" applyNumberFormat="1" applyFont="1" applyBorder="1" applyAlignment="1">
      <alignment wrapText="1"/>
    </xf>
    <xf numFmtId="9" fontId="8" fillId="0" borderId="1" xfId="0" applyNumberFormat="1" applyFont="1" applyBorder="1"/>
    <xf numFmtId="1" fontId="1" fillId="0" borderId="1" xfId="1" applyNumberFormat="1" applyFont="1" applyBorder="1"/>
    <xf numFmtId="1" fontId="2" fillId="0" borderId="1" xfId="1" applyNumberFormat="1" applyFont="1" applyBorder="1"/>
    <xf numFmtId="1" fontId="14" fillId="0" borderId="1" xfId="1" applyNumberFormat="1" applyFont="1" applyBorder="1"/>
    <xf numFmtId="1" fontId="12" fillId="0" borderId="1" xfId="1" applyNumberFormat="1" applyFont="1" applyBorder="1"/>
    <xf numFmtId="9" fontId="1" fillId="0" borderId="1" xfId="1" applyNumberFormat="1" applyFont="1" applyBorder="1"/>
    <xf numFmtId="0" fontId="26" fillId="0" borderId="1" xfId="0" applyFont="1" applyBorder="1"/>
    <xf numFmtId="0" fontId="2" fillId="0" borderId="1" xfId="0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0" fontId="25" fillId="0" borderId="3" xfId="0" applyFont="1" applyBorder="1"/>
    <xf numFmtId="1" fontId="28" fillId="0" borderId="1" xfId="1" applyNumberFormat="1" applyFont="1" applyBorder="1"/>
    <xf numFmtId="43" fontId="1" fillId="0" borderId="0" xfId="1" applyFont="1" applyBorder="1"/>
    <xf numFmtId="43" fontId="1" fillId="0" borderId="5" xfId="1" applyFont="1" applyBorder="1"/>
    <xf numFmtId="43" fontId="1" fillId="0" borderId="6" xfId="1" applyFont="1" applyBorder="1"/>
    <xf numFmtId="0" fontId="25" fillId="0" borderId="7" xfId="0" applyFont="1" applyBorder="1"/>
    <xf numFmtId="43" fontId="1" fillId="0" borderId="8" xfId="1" applyFont="1" applyBorder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43" fontId="1" fillId="0" borderId="10" xfId="1" applyFont="1" applyBorder="1"/>
    <xf numFmtId="43" fontId="2" fillId="0" borderId="0" xfId="1" applyFont="1" applyBorder="1"/>
    <xf numFmtId="0" fontId="2" fillId="0" borderId="0" xfId="0" applyFont="1" applyAlignment="1">
      <alignment horizontal="right"/>
    </xf>
    <xf numFmtId="0" fontId="25" fillId="0" borderId="5" xfId="0" applyFont="1" applyBorder="1"/>
    <xf numFmtId="0" fontId="25" fillId="0" borderId="0" xfId="0" applyFont="1"/>
    <xf numFmtId="2" fontId="29" fillId="0" borderId="1" xfId="0" applyNumberFormat="1" applyFont="1" applyBorder="1"/>
    <xf numFmtId="0" fontId="28" fillId="0" borderId="1" xfId="0" applyFont="1" applyBorder="1"/>
    <xf numFmtId="2" fontId="11" fillId="0" borderId="12" xfId="0" applyNumberFormat="1" applyFont="1" applyBorder="1"/>
    <xf numFmtId="0" fontId="11" fillId="0" borderId="13" xfId="0" applyFont="1" applyBorder="1"/>
    <xf numFmtId="2" fontId="11" fillId="0" borderId="13" xfId="0" applyNumberFormat="1" applyFont="1" applyBorder="1"/>
    <xf numFmtId="0" fontId="21" fillId="0" borderId="12" xfId="0" applyFont="1" applyBorder="1"/>
    <xf numFmtId="1" fontId="8" fillId="0" borderId="1" xfId="0" applyNumberFormat="1" applyFont="1" applyBorder="1"/>
    <xf numFmtId="1" fontId="7" fillId="0" borderId="1" xfId="0" applyNumberFormat="1" applyFont="1" applyBorder="1"/>
    <xf numFmtId="2" fontId="10" fillId="0" borderId="12" xfId="0" applyNumberFormat="1" applyFont="1" applyBorder="1"/>
    <xf numFmtId="0" fontId="20" fillId="0" borderId="12" xfId="0" applyFont="1" applyBorder="1"/>
    <xf numFmtId="2" fontId="20" fillId="0" borderId="12" xfId="0" applyNumberFormat="1" applyFont="1" applyBorder="1"/>
    <xf numFmtId="43" fontId="9" fillId="0" borderId="12" xfId="0" applyNumberFormat="1" applyFont="1" applyBorder="1"/>
    <xf numFmtId="2" fontId="9" fillId="0" borderId="13" xfId="0" applyNumberFormat="1" applyFont="1" applyBorder="1"/>
    <xf numFmtId="0" fontId="20" fillId="0" borderId="13" xfId="0" applyFont="1" applyBorder="1"/>
    <xf numFmtId="2" fontId="20" fillId="0" borderId="13" xfId="0" applyNumberFormat="1" applyFont="1" applyBorder="1"/>
    <xf numFmtId="43" fontId="9" fillId="0" borderId="13" xfId="0" applyNumberFormat="1" applyFont="1" applyBorder="1"/>
    <xf numFmtId="2" fontId="5" fillId="0" borderId="11" xfId="0" applyNumberFormat="1" applyFont="1" applyBorder="1"/>
    <xf numFmtId="0" fontId="3" fillId="0" borderId="12" xfId="0" applyFont="1" applyBorder="1"/>
    <xf numFmtId="4" fontId="5" fillId="0" borderId="12" xfId="0" applyNumberFormat="1" applyFont="1" applyBorder="1"/>
    <xf numFmtId="0" fontId="22" fillId="0" borderId="12" xfId="0" applyFont="1" applyBorder="1"/>
    <xf numFmtId="0" fontId="1" fillId="0" borderId="13" xfId="0" applyFont="1" applyBorder="1"/>
    <xf numFmtId="0" fontId="5" fillId="0" borderId="13" xfId="0" applyFont="1" applyBorder="1"/>
    <xf numFmtId="9" fontId="7" fillId="0" borderId="1" xfId="0" applyNumberFormat="1" applyFont="1" applyBorder="1"/>
    <xf numFmtId="9" fontId="2" fillId="0" borderId="1" xfId="0" applyNumberFormat="1" applyFont="1" applyBorder="1"/>
    <xf numFmtId="0" fontId="5" fillId="0" borderId="14" xfId="0" applyFont="1" applyBorder="1"/>
    <xf numFmtId="1" fontId="1" fillId="0" borderId="15" xfId="0" applyNumberFormat="1" applyFont="1" applyBorder="1"/>
    <xf numFmtId="43" fontId="27" fillId="0" borderId="5" xfId="1" applyFont="1" applyBorder="1" applyAlignment="1">
      <alignment horizontal="left"/>
    </xf>
    <xf numFmtId="43" fontId="30" fillId="0" borderId="0" xfId="1" applyFont="1" applyBorder="1"/>
    <xf numFmtId="1" fontId="12" fillId="0" borderId="1" xfId="0" applyNumberFormat="1" applyFont="1" applyBorder="1"/>
    <xf numFmtId="0" fontId="18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3" fontId="2" fillId="0" borderId="16" xfId="1" applyFont="1" applyBorder="1"/>
    <xf numFmtId="43" fontId="2" fillId="0" borderId="10" xfId="1" applyFont="1" applyBorder="1" applyAlignment="1">
      <alignment horizontal="right"/>
    </xf>
    <xf numFmtId="43" fontId="2" fillId="0" borderId="11" xfId="1" applyFont="1" applyBorder="1"/>
    <xf numFmtId="0" fontId="1" fillId="0" borderId="0" xfId="0" applyFont="1" applyAlignment="1">
      <alignment horizontal="left"/>
    </xf>
    <xf numFmtId="2" fontId="32" fillId="0" borderId="1" xfId="0" applyNumberFormat="1" applyFont="1" applyBorder="1"/>
    <xf numFmtId="164" fontId="11" fillId="0" borderId="1" xfId="0" applyNumberFormat="1" applyFont="1" applyBorder="1"/>
    <xf numFmtId="2" fontId="26" fillId="0" borderId="1" xfId="0" applyNumberFormat="1" applyFont="1" applyBorder="1"/>
    <xf numFmtId="1" fontId="26" fillId="0" borderId="1" xfId="0" applyNumberFormat="1" applyFont="1" applyBorder="1"/>
    <xf numFmtId="164" fontId="26" fillId="0" borderId="1" xfId="0" applyNumberFormat="1" applyFont="1" applyBorder="1"/>
    <xf numFmtId="4" fontId="33" fillId="0" borderId="1" xfId="0" applyNumberFormat="1" applyFont="1" applyBorder="1"/>
    <xf numFmtId="0" fontId="33" fillId="0" borderId="1" xfId="0" applyFont="1" applyBorder="1"/>
    <xf numFmtId="2" fontId="33" fillId="0" borderId="1" xfId="0" applyNumberFormat="1" applyFont="1" applyBorder="1"/>
    <xf numFmtId="164" fontId="4" fillId="0" borderId="1" xfId="0" applyNumberFormat="1" applyFont="1" applyBorder="1"/>
    <xf numFmtId="0" fontId="27" fillId="0" borderId="4" xfId="0" applyFont="1" applyBorder="1" applyAlignment="1">
      <alignment wrapText="1"/>
    </xf>
    <xf numFmtId="0" fontId="34" fillId="0" borderId="1" xfId="0" applyFont="1" applyBorder="1"/>
    <xf numFmtId="2" fontId="34" fillId="0" borderId="1" xfId="0" applyNumberFormat="1" applyFont="1" applyBorder="1"/>
    <xf numFmtId="1" fontId="34" fillId="0" borderId="1" xfId="0" applyNumberFormat="1" applyFont="1" applyBorder="1"/>
    <xf numFmtId="1" fontId="9" fillId="0" borderId="1" xfId="0" applyNumberFormat="1" applyFont="1" applyBorder="1"/>
    <xf numFmtId="4" fontId="0" fillId="0" borderId="1" xfId="0" applyNumberFormat="1" applyBorder="1"/>
    <xf numFmtId="2" fontId="0" fillId="0" borderId="1" xfId="0" applyNumberFormat="1" applyBorder="1"/>
    <xf numFmtId="4" fontId="0" fillId="0" borderId="1" xfId="0" applyNumberFormat="1" applyBorder="1" applyProtection="1">
      <protection locked="0"/>
    </xf>
    <xf numFmtId="43" fontId="0" fillId="0" borderId="1" xfId="0" applyNumberFormat="1" applyBorder="1"/>
    <xf numFmtId="4" fontId="5" fillId="0" borderId="1" xfId="0" applyNumberFormat="1" applyFont="1" applyBorder="1" applyAlignment="1">
      <alignment horizontal="center" wrapText="1"/>
    </xf>
    <xf numFmtId="1" fontId="32" fillId="0" borderId="1" xfId="0" applyNumberFormat="1" applyFont="1" applyBorder="1"/>
    <xf numFmtId="4" fontId="5" fillId="0" borderId="1" xfId="0" quotePrefix="1" applyNumberFormat="1" applyFont="1" applyBorder="1" applyAlignment="1">
      <alignment horizontal="center" vertical="center" wrapText="1"/>
    </xf>
    <xf numFmtId="4" fontId="5" fillId="0" borderId="0" xfId="0" applyNumberFormat="1" applyFont="1"/>
    <xf numFmtId="1" fontId="35" fillId="0" borderId="1" xfId="0" applyNumberFormat="1" applyFont="1" applyBorder="1"/>
    <xf numFmtId="4" fontId="2" fillId="0" borderId="1" xfId="0" quotePrefix="1" applyNumberFormat="1" applyFont="1" applyBorder="1" applyAlignment="1">
      <alignment horizontal="center" wrapText="1"/>
    </xf>
    <xf numFmtId="2" fontId="31" fillId="0" borderId="1" xfId="0" applyNumberFormat="1" applyFont="1" applyBorder="1"/>
    <xf numFmtId="1" fontId="31" fillId="0" borderId="1" xfId="0" applyNumberFormat="1" applyFont="1" applyBorder="1"/>
    <xf numFmtId="43" fontId="2" fillId="0" borderId="1" xfId="0" applyNumberFormat="1" applyFont="1" applyBorder="1"/>
    <xf numFmtId="2" fontId="36" fillId="0" borderId="1" xfId="0" applyNumberFormat="1" applyFont="1" applyBorder="1"/>
    <xf numFmtId="1" fontId="36" fillId="0" borderId="1" xfId="0" applyNumberFormat="1" applyFont="1" applyBorder="1"/>
    <xf numFmtId="0" fontId="36" fillId="0" borderId="1" xfId="0" applyFont="1" applyBorder="1"/>
    <xf numFmtId="43" fontId="2" fillId="0" borderId="1" xfId="1" applyFont="1" applyFill="1" applyBorder="1" applyAlignment="1">
      <alignment horizontal="center" wrapText="1"/>
    </xf>
    <xf numFmtId="0" fontId="14" fillId="0" borderId="1" xfId="0" applyFont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workbookViewId="0">
      <pane ySplit="1" topLeftCell="A47" activePane="bottomLeft" state="frozen"/>
      <selection pane="bottomLeft" activeCell="K73" sqref="K73"/>
    </sheetView>
  </sheetViews>
  <sheetFormatPr defaultColWidth="9.109375" defaultRowHeight="11.4" x14ac:dyDescent="0.2"/>
  <cols>
    <col min="1" max="1" width="36" style="10" customWidth="1"/>
    <col min="2" max="2" width="9.5546875" style="41" bestFit="1" customWidth="1"/>
    <col min="3" max="3" width="9.6640625" style="39" hidden="1" customWidth="1"/>
    <col min="4" max="4" width="9.5546875" style="64" customWidth="1"/>
    <col min="5" max="5" width="9.6640625" style="40" hidden="1" customWidth="1"/>
    <col min="6" max="6" width="12.44140625" style="63" bestFit="1" customWidth="1"/>
    <col min="7" max="7" width="11" style="41" hidden="1" customWidth="1"/>
    <col min="8" max="8" width="9.5546875" style="67" customWidth="1"/>
    <col min="9" max="9" width="9.33203125" style="67" hidden="1" customWidth="1"/>
    <col min="10" max="10" width="9.33203125" style="10" customWidth="1"/>
    <col min="11" max="11" width="9.44140625" style="10" customWidth="1"/>
    <col min="12" max="16384" width="9.109375" style="10"/>
  </cols>
  <sheetData>
    <row r="1" spans="1:15" s="35" customFormat="1" ht="48" x14ac:dyDescent="0.25">
      <c r="A1" s="134" t="s">
        <v>36</v>
      </c>
      <c r="B1" s="59" t="s">
        <v>125</v>
      </c>
      <c r="C1" s="44" t="s">
        <v>0</v>
      </c>
      <c r="D1" s="35" t="s">
        <v>127</v>
      </c>
      <c r="E1" s="34" t="s">
        <v>0</v>
      </c>
      <c r="F1" s="59" t="s">
        <v>146</v>
      </c>
      <c r="G1" s="33" t="s">
        <v>0</v>
      </c>
      <c r="H1" s="65" t="s">
        <v>137</v>
      </c>
      <c r="I1" s="65" t="s">
        <v>58</v>
      </c>
      <c r="J1" s="55" t="s">
        <v>60</v>
      </c>
      <c r="K1" s="35" t="s">
        <v>147</v>
      </c>
    </row>
    <row r="2" spans="1:15" s="36" customFormat="1" ht="12" x14ac:dyDescent="0.25">
      <c r="A2" s="133" t="s">
        <v>1</v>
      </c>
      <c r="B2" s="61"/>
      <c r="C2" s="37">
        <f>SUM(B3:B7)</f>
        <v>12442.080000000002</v>
      </c>
      <c r="E2" s="38">
        <f>SUM(D3:D7)</f>
        <v>16163</v>
      </c>
      <c r="F2" s="61"/>
      <c r="G2" s="45">
        <f>SUM(F3:F7)</f>
        <v>8740.92</v>
      </c>
      <c r="H2" s="66"/>
      <c r="I2" s="66">
        <f>SUM(H3:H7)</f>
        <v>14984.434285714286</v>
      </c>
    </row>
    <row r="3" spans="1:15" ht="13.2" x14ac:dyDescent="0.25">
      <c r="A3" s="10" t="s">
        <v>27</v>
      </c>
      <c r="B3" s="61">
        <v>3472.9</v>
      </c>
      <c r="D3" s="10">
        <v>3334</v>
      </c>
      <c r="F3" s="156">
        <v>1734.09</v>
      </c>
      <c r="H3" s="67">
        <f>SUM(F3/7)*12</f>
        <v>2972.7257142857143</v>
      </c>
      <c r="J3" s="74">
        <f>D3-H3</f>
        <v>361.27428571428572</v>
      </c>
      <c r="K3" s="10">
        <v>3557</v>
      </c>
    </row>
    <row r="4" spans="1:15" ht="13.2" x14ac:dyDescent="0.25">
      <c r="A4" s="10" t="s">
        <v>26</v>
      </c>
      <c r="B4" s="61">
        <v>1474.11</v>
      </c>
      <c r="D4" s="10">
        <v>1305</v>
      </c>
      <c r="F4" s="156">
        <v>761.81</v>
      </c>
      <c r="H4" s="67">
        <f t="shared" ref="H4:H58" si="0">SUM(F4/7)*12</f>
        <v>1305.96</v>
      </c>
      <c r="J4" s="74">
        <f>D4-H4</f>
        <v>-0.96000000000003638</v>
      </c>
      <c r="K4" s="10">
        <v>1396</v>
      </c>
    </row>
    <row r="5" spans="1:15" ht="13.2" x14ac:dyDescent="0.25">
      <c r="A5" s="58" t="s">
        <v>121</v>
      </c>
      <c r="B5" s="61">
        <v>3519.5</v>
      </c>
      <c r="D5" s="10">
        <v>6600</v>
      </c>
      <c r="F5" s="156">
        <v>4251.6499999999996</v>
      </c>
      <c r="H5" s="67">
        <f t="shared" si="0"/>
        <v>7288.5428571428565</v>
      </c>
      <c r="J5" s="74">
        <f>D5-H5</f>
        <v>-688.54285714285652</v>
      </c>
      <c r="K5" s="10">
        <v>8780</v>
      </c>
    </row>
    <row r="6" spans="1:15" ht="13.2" x14ac:dyDescent="0.25">
      <c r="A6" s="58" t="s">
        <v>41</v>
      </c>
      <c r="B6" s="61">
        <v>865.53</v>
      </c>
      <c r="D6" s="10">
        <v>1284</v>
      </c>
      <c r="F6" s="156">
        <v>649.88</v>
      </c>
      <c r="H6" s="67">
        <f t="shared" si="0"/>
        <v>1114.08</v>
      </c>
      <c r="J6" s="74">
        <f>D6-H6</f>
        <v>169.92000000000007</v>
      </c>
      <c r="K6" s="10">
        <v>260</v>
      </c>
    </row>
    <row r="7" spans="1:15" ht="13.2" x14ac:dyDescent="0.25">
      <c r="A7" s="58" t="s">
        <v>106</v>
      </c>
      <c r="B7" s="61">
        <v>3110.04</v>
      </c>
      <c r="D7" s="10">
        <v>3640</v>
      </c>
      <c r="F7" s="156">
        <v>1343.49</v>
      </c>
      <c r="H7" s="67">
        <f t="shared" si="0"/>
        <v>2303.1257142857144</v>
      </c>
      <c r="J7" s="74">
        <f>D7-H7</f>
        <v>1336.8742857142856</v>
      </c>
      <c r="K7" s="10">
        <v>2775</v>
      </c>
    </row>
    <row r="8" spans="1:15" s="36" customFormat="1" ht="13.2" x14ac:dyDescent="0.25">
      <c r="A8" s="10" t="s">
        <v>120</v>
      </c>
      <c r="B8" s="61">
        <v>8103.04</v>
      </c>
      <c r="C8" s="37">
        <f>SUM(B9:B19)</f>
        <v>21138.75</v>
      </c>
      <c r="D8" s="10">
        <v>0</v>
      </c>
      <c r="E8" s="38">
        <f>SUM(D9:D19)</f>
        <v>30207</v>
      </c>
      <c r="F8" s="156"/>
      <c r="G8" s="45">
        <f>SUM(F9:F19)</f>
        <v>11827.39</v>
      </c>
      <c r="H8" s="67">
        <f t="shared" si="0"/>
        <v>0</v>
      </c>
      <c r="I8" s="67">
        <f>SUM(H9:H19)</f>
        <v>24713.525714285712</v>
      </c>
      <c r="J8" s="74"/>
    </row>
    <row r="9" spans="1:15" ht="13.2" x14ac:dyDescent="0.25">
      <c r="A9" s="133" t="s">
        <v>2</v>
      </c>
      <c r="B9" s="61"/>
      <c r="D9" s="36"/>
      <c r="F9" s="156"/>
      <c r="J9" s="74"/>
    </row>
    <row r="10" spans="1:15" ht="13.2" x14ac:dyDescent="0.25">
      <c r="A10" s="10" t="s">
        <v>32</v>
      </c>
      <c r="B10" s="61">
        <v>0</v>
      </c>
      <c r="D10" s="10">
        <v>0</v>
      </c>
      <c r="F10" s="156">
        <v>0</v>
      </c>
      <c r="H10" s="67">
        <f t="shared" si="0"/>
        <v>0</v>
      </c>
      <c r="J10" s="74">
        <f t="shared" ref="J10:J20" si="1">D10-H10</f>
        <v>0</v>
      </c>
      <c r="K10" s="10">
        <v>0</v>
      </c>
    </row>
    <row r="11" spans="1:15" s="86" customFormat="1" ht="13.2" x14ac:dyDescent="0.25">
      <c r="A11" s="10" t="s">
        <v>3</v>
      </c>
      <c r="B11" s="58">
        <v>1828.78</v>
      </c>
      <c r="C11" s="144"/>
      <c r="D11" s="10">
        <v>2000</v>
      </c>
      <c r="E11" s="144"/>
      <c r="F11" s="157">
        <v>0</v>
      </c>
      <c r="G11" s="144"/>
      <c r="H11" s="67">
        <v>2000</v>
      </c>
      <c r="I11" s="145"/>
      <c r="J11" s="146">
        <f t="shared" si="1"/>
        <v>0</v>
      </c>
      <c r="K11" s="58">
        <v>2500</v>
      </c>
    </row>
    <row r="12" spans="1:15" ht="13.2" x14ac:dyDescent="0.25">
      <c r="A12" s="58" t="s">
        <v>98</v>
      </c>
      <c r="B12" s="61">
        <v>2742.69</v>
      </c>
      <c r="D12" s="10">
        <v>10000</v>
      </c>
      <c r="F12" s="156">
        <v>4301.95</v>
      </c>
      <c r="H12" s="67">
        <f t="shared" si="0"/>
        <v>7374.7714285714283</v>
      </c>
      <c r="J12" s="74">
        <f t="shared" si="1"/>
        <v>2625.2285714285717</v>
      </c>
      <c r="K12" s="10">
        <v>6000</v>
      </c>
    </row>
    <row r="13" spans="1:15" ht="13.2" x14ac:dyDescent="0.25">
      <c r="A13" s="58" t="s">
        <v>76</v>
      </c>
      <c r="B13" s="61">
        <v>2480.9699999999998</v>
      </c>
      <c r="D13" s="10">
        <v>2460</v>
      </c>
      <c r="F13" s="156">
        <v>1500.41</v>
      </c>
      <c r="H13" s="67">
        <f t="shared" si="0"/>
        <v>2572.1314285714288</v>
      </c>
      <c r="J13" s="74">
        <f t="shared" si="1"/>
        <v>-112.13142857142884</v>
      </c>
      <c r="K13" s="10">
        <v>3000</v>
      </c>
    </row>
    <row r="14" spans="1:15" ht="13.2" x14ac:dyDescent="0.25">
      <c r="A14" s="10" t="s">
        <v>85</v>
      </c>
      <c r="B14" s="61">
        <v>6041.46</v>
      </c>
      <c r="D14" s="10">
        <v>6600</v>
      </c>
      <c r="F14" s="156">
        <v>3423.8</v>
      </c>
      <c r="H14" s="67">
        <f t="shared" si="0"/>
        <v>5869.3714285714286</v>
      </c>
      <c r="J14" s="74">
        <f t="shared" si="1"/>
        <v>730.62857142857138</v>
      </c>
      <c r="K14" s="10">
        <v>6600</v>
      </c>
    </row>
    <row r="15" spans="1:15" ht="13.2" x14ac:dyDescent="0.25">
      <c r="A15" s="10" t="s">
        <v>86</v>
      </c>
      <c r="B15" s="61">
        <v>2093.42</v>
      </c>
      <c r="D15" s="10">
        <v>2000</v>
      </c>
      <c r="F15" s="156">
        <v>939.31</v>
      </c>
      <c r="H15" s="67">
        <f t="shared" si="0"/>
        <v>1610.2457142857143</v>
      </c>
      <c r="J15" s="74">
        <f t="shared" si="1"/>
        <v>389.75428571428574</v>
      </c>
      <c r="K15" s="10">
        <v>2400</v>
      </c>
      <c r="O15" s="67"/>
    </row>
    <row r="16" spans="1:15" ht="13.2" x14ac:dyDescent="0.25">
      <c r="A16" s="10" t="s">
        <v>63</v>
      </c>
      <c r="B16" s="61">
        <v>587.4</v>
      </c>
      <c r="D16" s="10">
        <v>647</v>
      </c>
      <c r="F16" s="156">
        <v>298.25</v>
      </c>
      <c r="H16" s="67">
        <f t="shared" si="0"/>
        <v>511.28571428571422</v>
      </c>
      <c r="J16" s="74">
        <f t="shared" si="1"/>
        <v>135.71428571428578</v>
      </c>
      <c r="K16" s="10">
        <v>600</v>
      </c>
    </row>
    <row r="17" spans="1:11" ht="13.2" x14ac:dyDescent="0.25">
      <c r="A17" s="58" t="s">
        <v>157</v>
      </c>
      <c r="B17" s="61">
        <v>2030.87</v>
      </c>
      <c r="D17" s="10">
        <v>2000</v>
      </c>
      <c r="F17" s="156">
        <f>75+197+188</f>
        <v>460</v>
      </c>
      <c r="H17" s="67">
        <f t="shared" si="0"/>
        <v>788.57142857142844</v>
      </c>
      <c r="J17" s="74">
        <f t="shared" si="1"/>
        <v>1211.4285714285716</v>
      </c>
      <c r="K17" s="10">
        <v>1000</v>
      </c>
    </row>
    <row r="18" spans="1:11" ht="13.2" x14ac:dyDescent="0.25">
      <c r="A18" s="10" t="s">
        <v>88</v>
      </c>
      <c r="B18" s="39">
        <v>1063.33</v>
      </c>
      <c r="C18" s="37"/>
      <c r="D18" s="10">
        <v>2000</v>
      </c>
      <c r="F18" s="157">
        <v>903.67</v>
      </c>
      <c r="H18" s="67">
        <f t="shared" si="0"/>
        <v>1549.1485714285714</v>
      </c>
      <c r="J18" s="74">
        <f t="shared" si="1"/>
        <v>450.85142857142864</v>
      </c>
      <c r="K18" s="10">
        <v>2000</v>
      </c>
    </row>
    <row r="19" spans="1:11" ht="13.2" x14ac:dyDescent="0.25">
      <c r="A19" s="58" t="s">
        <v>105</v>
      </c>
      <c r="B19" s="61">
        <v>2269.83</v>
      </c>
      <c r="D19" s="10">
        <v>2500</v>
      </c>
      <c r="F19" s="156">
        <v>0</v>
      </c>
      <c r="H19" s="67">
        <v>2438</v>
      </c>
      <c r="J19" s="74">
        <f t="shared" si="1"/>
        <v>62</v>
      </c>
      <c r="K19" s="58">
        <v>2500</v>
      </c>
    </row>
    <row r="20" spans="1:11" s="36" customFormat="1" ht="13.2" x14ac:dyDescent="0.25">
      <c r="A20" s="58" t="s">
        <v>99</v>
      </c>
      <c r="B20" s="61">
        <v>0</v>
      </c>
      <c r="C20" s="37">
        <f>SUM(B21:B25)</f>
        <v>2026.46</v>
      </c>
      <c r="D20" s="10">
        <v>1000</v>
      </c>
      <c r="E20" s="38">
        <f>SUM(D21:D25)</f>
        <v>3872</v>
      </c>
      <c r="F20" s="156">
        <v>1131.5</v>
      </c>
      <c r="G20" s="45">
        <f>SUM(F21:F25)</f>
        <v>1384.2800000000002</v>
      </c>
      <c r="H20" s="67">
        <f t="shared" si="0"/>
        <v>1939.7142857142858</v>
      </c>
      <c r="I20" s="67">
        <f>SUM(H21:H25)</f>
        <v>2373.0514285714289</v>
      </c>
      <c r="J20" s="74">
        <f t="shared" si="1"/>
        <v>-939.71428571428578</v>
      </c>
      <c r="K20" s="10">
        <v>1000</v>
      </c>
    </row>
    <row r="21" spans="1:11" ht="13.2" x14ac:dyDescent="0.25">
      <c r="A21" s="133" t="s">
        <v>143</v>
      </c>
      <c r="B21" s="61"/>
      <c r="D21" s="36"/>
      <c r="F21" s="156"/>
      <c r="J21" s="74"/>
    </row>
    <row r="22" spans="1:11" ht="13.2" x14ac:dyDescent="0.25">
      <c r="A22" s="58" t="s">
        <v>4</v>
      </c>
      <c r="B22" s="61">
        <v>304.81</v>
      </c>
      <c r="D22" s="10">
        <v>2000</v>
      </c>
      <c r="F22" s="156">
        <f>123+543.13+123+123</f>
        <v>912.13</v>
      </c>
      <c r="H22" s="67">
        <f t="shared" si="0"/>
        <v>1563.6514285714288</v>
      </c>
      <c r="J22" s="74">
        <f>D22-H22</f>
        <v>436.34857142857118</v>
      </c>
      <c r="K22" s="10">
        <v>1300</v>
      </c>
    </row>
    <row r="23" spans="1:11" ht="13.2" x14ac:dyDescent="0.25">
      <c r="A23" s="58" t="s">
        <v>5</v>
      </c>
      <c r="B23" s="61">
        <v>522.97</v>
      </c>
      <c r="D23" s="10">
        <v>540</v>
      </c>
      <c r="F23" s="156">
        <v>128.25</v>
      </c>
      <c r="H23" s="67">
        <f t="shared" si="0"/>
        <v>219.85714285714289</v>
      </c>
      <c r="J23" s="74">
        <f>D23-H23</f>
        <v>320.14285714285711</v>
      </c>
      <c r="K23" s="10">
        <v>500</v>
      </c>
    </row>
    <row r="24" spans="1:11" ht="13.2" x14ac:dyDescent="0.25">
      <c r="A24" s="10" t="s">
        <v>87</v>
      </c>
      <c r="B24" s="61">
        <v>1096.48</v>
      </c>
      <c r="D24" s="10">
        <v>832</v>
      </c>
      <c r="F24" s="156">
        <v>64</v>
      </c>
      <c r="H24" s="67">
        <f t="shared" si="0"/>
        <v>109.71428571428571</v>
      </c>
      <c r="J24" s="74">
        <f>D24-H24</f>
        <v>722.28571428571433</v>
      </c>
      <c r="K24" s="10">
        <v>1664</v>
      </c>
    </row>
    <row r="25" spans="1:11" ht="13.2" x14ac:dyDescent="0.25">
      <c r="A25" s="10" t="s">
        <v>96</v>
      </c>
      <c r="B25" s="61">
        <v>102.2</v>
      </c>
      <c r="D25" s="10">
        <v>500</v>
      </c>
      <c r="F25" s="156">
        <v>279.89999999999998</v>
      </c>
      <c r="H25" s="67">
        <f t="shared" si="0"/>
        <v>479.82857142857137</v>
      </c>
      <c r="J25" s="74">
        <f>D25-H25</f>
        <v>20.171428571428635</v>
      </c>
      <c r="K25" s="10">
        <v>1000</v>
      </c>
    </row>
    <row r="26" spans="1:11" ht="13.2" x14ac:dyDescent="0.25">
      <c r="A26" s="10" t="s">
        <v>31</v>
      </c>
      <c r="B26" s="61">
        <v>324.26</v>
      </c>
      <c r="C26" s="42"/>
      <c r="D26" s="10">
        <v>325</v>
      </c>
      <c r="F26" s="156">
        <f>63.3</f>
        <v>63.3</v>
      </c>
      <c r="H26" s="67">
        <v>348</v>
      </c>
      <c r="J26" s="74">
        <f>D26-H26</f>
        <v>-23</v>
      </c>
      <c r="K26" s="10">
        <v>350</v>
      </c>
    </row>
    <row r="27" spans="1:11" ht="13.2" x14ac:dyDescent="0.25">
      <c r="A27" s="133" t="s">
        <v>74</v>
      </c>
      <c r="B27" s="60"/>
      <c r="C27" s="42"/>
      <c r="D27" s="10"/>
      <c r="F27" s="156"/>
      <c r="J27" s="74"/>
    </row>
    <row r="28" spans="1:11" ht="13.2" x14ac:dyDescent="0.25">
      <c r="A28" s="10" t="s">
        <v>73</v>
      </c>
      <c r="B28" s="61">
        <v>991.12</v>
      </c>
      <c r="C28" s="42"/>
      <c r="D28" s="10">
        <v>1000</v>
      </c>
      <c r="F28" s="158">
        <v>352.61</v>
      </c>
      <c r="H28" s="67">
        <f>SUM(F28/7)*12+348</f>
        <v>952.47428571428577</v>
      </c>
      <c r="J28" s="74">
        <f>D28-H28</f>
        <v>47.52571428571423</v>
      </c>
      <c r="K28" s="10">
        <v>1000</v>
      </c>
    </row>
    <row r="29" spans="1:11" ht="13.2" x14ac:dyDescent="0.25">
      <c r="A29" s="10" t="s">
        <v>85</v>
      </c>
      <c r="B29" s="61">
        <v>6041.46</v>
      </c>
      <c r="C29" s="42"/>
      <c r="D29" s="10">
        <v>6600</v>
      </c>
      <c r="F29" s="158">
        <v>3423.8</v>
      </c>
      <c r="H29" s="67">
        <f t="shared" si="0"/>
        <v>5869.3714285714286</v>
      </c>
      <c r="J29" s="74">
        <f t="shared" ref="J29:J30" si="2">D29-H29</f>
        <v>730.62857142857138</v>
      </c>
      <c r="K29" s="10">
        <v>6600</v>
      </c>
    </row>
    <row r="30" spans="1:11" s="36" customFormat="1" ht="13.2" x14ac:dyDescent="0.25">
      <c r="A30" s="10" t="s">
        <v>168</v>
      </c>
      <c r="B30" s="61">
        <v>1800</v>
      </c>
      <c r="C30" s="37">
        <f>SUM(B32:B37)</f>
        <v>13021.32</v>
      </c>
      <c r="D30" s="58">
        <v>2000</v>
      </c>
      <c r="E30" s="38">
        <f>SUM(D32:D37)</f>
        <v>17944</v>
      </c>
      <c r="F30" s="158">
        <v>0</v>
      </c>
      <c r="G30" s="45">
        <f>SUM(F32:F37)</f>
        <v>6378.02</v>
      </c>
      <c r="H30" s="67">
        <f t="shared" si="0"/>
        <v>0</v>
      </c>
      <c r="I30" s="67">
        <f>SUM(H32:H37)</f>
        <v>10933.748571428572</v>
      </c>
      <c r="J30" s="74">
        <f t="shared" si="2"/>
        <v>2000</v>
      </c>
      <c r="K30" s="10">
        <v>4000</v>
      </c>
    </row>
    <row r="31" spans="1:11" s="36" customFormat="1" ht="13.2" x14ac:dyDescent="0.25">
      <c r="A31" s="133" t="s">
        <v>6</v>
      </c>
      <c r="B31" s="61"/>
      <c r="C31" s="37"/>
      <c r="E31" s="38"/>
      <c r="F31" s="156"/>
      <c r="G31" s="45"/>
      <c r="H31" s="67"/>
      <c r="I31" s="67"/>
      <c r="J31" s="74"/>
    </row>
    <row r="32" spans="1:11" ht="13.2" x14ac:dyDescent="0.25">
      <c r="A32" s="10" t="s">
        <v>156</v>
      </c>
      <c r="B32" s="61">
        <v>1332.87</v>
      </c>
      <c r="D32" s="10">
        <v>1500</v>
      </c>
      <c r="F32" s="156">
        <v>1753.71</v>
      </c>
      <c r="H32" s="67">
        <f t="shared" si="0"/>
        <v>3006.36</v>
      </c>
      <c r="J32" s="74">
        <f t="shared" ref="J32:J38" si="3">D32-H32</f>
        <v>-1506.3600000000001</v>
      </c>
      <c r="K32" s="10">
        <v>2000</v>
      </c>
    </row>
    <row r="33" spans="1:11" s="152" customFormat="1" ht="13.2" x14ac:dyDescent="0.25">
      <c r="A33" s="10" t="s">
        <v>77</v>
      </c>
      <c r="B33" s="39">
        <v>3941.63</v>
      </c>
      <c r="C33" s="39"/>
      <c r="D33" s="10">
        <v>4700</v>
      </c>
      <c r="E33" s="39"/>
      <c r="F33" s="157">
        <v>2508.31</v>
      </c>
      <c r="G33" s="39"/>
      <c r="H33" s="67">
        <f t="shared" si="0"/>
        <v>4299.96</v>
      </c>
      <c r="I33" s="155"/>
      <c r="J33" s="74">
        <f t="shared" si="3"/>
        <v>400.03999999999996</v>
      </c>
      <c r="K33" s="58">
        <v>4300</v>
      </c>
    </row>
    <row r="34" spans="1:11" ht="13.2" x14ac:dyDescent="0.25">
      <c r="A34" s="10" t="s">
        <v>169</v>
      </c>
      <c r="B34" s="61">
        <v>1710.11</v>
      </c>
      <c r="D34" s="10">
        <v>2000</v>
      </c>
      <c r="F34" s="156">
        <v>1365</v>
      </c>
      <c r="H34" s="67">
        <f t="shared" si="0"/>
        <v>2340</v>
      </c>
      <c r="J34" s="74">
        <f t="shared" si="3"/>
        <v>-340</v>
      </c>
      <c r="K34" s="10">
        <v>2000</v>
      </c>
    </row>
    <row r="35" spans="1:11" s="152" customFormat="1" ht="13.2" x14ac:dyDescent="0.25">
      <c r="A35" s="10" t="s">
        <v>78</v>
      </c>
      <c r="B35" s="61">
        <v>3640</v>
      </c>
      <c r="C35" s="153"/>
      <c r="D35" s="10">
        <v>2000</v>
      </c>
      <c r="E35" s="153"/>
      <c r="F35" s="156">
        <v>400</v>
      </c>
      <c r="G35" s="39"/>
      <c r="H35" s="67">
        <f t="shared" si="0"/>
        <v>685.71428571428578</v>
      </c>
      <c r="I35" s="155"/>
      <c r="J35" s="74">
        <f t="shared" si="3"/>
        <v>1314.2857142857142</v>
      </c>
      <c r="K35" s="58">
        <v>2000</v>
      </c>
    </row>
    <row r="36" spans="1:11" ht="13.2" x14ac:dyDescent="0.25">
      <c r="A36" s="10" t="s">
        <v>35</v>
      </c>
      <c r="B36" s="61">
        <v>0</v>
      </c>
      <c r="C36" s="42"/>
      <c r="D36" s="58">
        <v>4000</v>
      </c>
      <c r="F36" s="156">
        <v>0</v>
      </c>
      <c r="H36" s="67">
        <f t="shared" si="0"/>
        <v>0</v>
      </c>
      <c r="J36" s="74">
        <f t="shared" si="3"/>
        <v>4000</v>
      </c>
      <c r="K36" s="10">
        <v>5000</v>
      </c>
    </row>
    <row r="37" spans="1:11" ht="13.2" x14ac:dyDescent="0.25">
      <c r="A37" s="58" t="s">
        <v>100</v>
      </c>
      <c r="B37" s="62">
        <v>2396.71</v>
      </c>
      <c r="D37" s="10">
        <v>3744</v>
      </c>
      <c r="F37" s="156">
        <f>351</f>
        <v>351</v>
      </c>
      <c r="H37" s="67">
        <f t="shared" si="0"/>
        <v>601.71428571428578</v>
      </c>
      <c r="J37" s="74">
        <f t="shared" si="3"/>
        <v>3142.2857142857142</v>
      </c>
      <c r="K37" s="10">
        <v>3744</v>
      </c>
    </row>
    <row r="38" spans="1:11" s="36" customFormat="1" ht="13.2" x14ac:dyDescent="0.25">
      <c r="A38" s="10" t="s">
        <v>46</v>
      </c>
      <c r="B38" s="61">
        <v>0</v>
      </c>
      <c r="C38" s="37">
        <f>SUM(B39:B39)</f>
        <v>0</v>
      </c>
      <c r="D38" s="10">
        <v>325</v>
      </c>
      <c r="E38" s="38">
        <f>SUM(D39:D39)</f>
        <v>0</v>
      </c>
      <c r="F38" s="156">
        <v>0</v>
      </c>
      <c r="G38" s="45">
        <f>SUM(F39:F39)</f>
        <v>0</v>
      </c>
      <c r="H38" s="67">
        <v>348</v>
      </c>
      <c r="I38" s="67">
        <f>SUM(H39:H39)</f>
        <v>0</v>
      </c>
      <c r="J38" s="74">
        <f t="shared" si="3"/>
        <v>-23</v>
      </c>
      <c r="K38" s="10">
        <v>350</v>
      </c>
    </row>
    <row r="39" spans="1:11" ht="13.2" x14ac:dyDescent="0.25">
      <c r="A39" s="133" t="s">
        <v>8</v>
      </c>
      <c r="B39" s="61"/>
      <c r="D39" s="36"/>
      <c r="F39" s="156"/>
      <c r="J39" s="74"/>
    </row>
    <row r="40" spans="1:11" ht="13.2" x14ac:dyDescent="0.25">
      <c r="A40" s="10" t="s">
        <v>158</v>
      </c>
      <c r="B40" s="61">
        <v>1023.29</v>
      </c>
      <c r="C40" s="37">
        <f>SUM(B40:B40)</f>
        <v>1023.29</v>
      </c>
      <c r="D40" s="10">
        <v>1000</v>
      </c>
      <c r="E40" s="40">
        <f>SUM(D40)</f>
        <v>1000</v>
      </c>
      <c r="F40" s="156">
        <v>269.98</v>
      </c>
      <c r="G40" s="41">
        <f>F40</f>
        <v>269.98</v>
      </c>
      <c r="H40" s="67">
        <f>SUM(F40/7)*12+300</f>
        <v>762.82285714285717</v>
      </c>
      <c r="I40" s="67">
        <f>H40</f>
        <v>762.82285714285717</v>
      </c>
      <c r="J40" s="74">
        <f>D40-H40</f>
        <v>237.17714285714283</v>
      </c>
      <c r="K40" s="10">
        <v>1000</v>
      </c>
    </row>
    <row r="41" spans="1:11" s="36" customFormat="1" ht="13.2" x14ac:dyDescent="0.25">
      <c r="A41" s="10" t="s">
        <v>89</v>
      </c>
      <c r="B41" s="61">
        <v>118</v>
      </c>
      <c r="D41" s="10">
        <v>125</v>
      </c>
      <c r="F41" s="156">
        <v>0</v>
      </c>
      <c r="H41" s="67">
        <v>65</v>
      </c>
      <c r="J41" s="74">
        <f>D41-H41</f>
        <v>60</v>
      </c>
      <c r="K41" s="10">
        <v>65</v>
      </c>
    </row>
    <row r="42" spans="1:11" s="36" customFormat="1" ht="13.2" x14ac:dyDescent="0.25">
      <c r="A42" s="133" t="s">
        <v>45</v>
      </c>
      <c r="B42" s="61"/>
      <c r="C42" s="37">
        <f>SUM(B42)</f>
        <v>0</v>
      </c>
      <c r="D42" s="10"/>
      <c r="E42" s="40">
        <f>SUM(D42)</f>
        <v>0</v>
      </c>
      <c r="F42" s="156"/>
      <c r="G42" s="45">
        <f>F42</f>
        <v>0</v>
      </c>
      <c r="H42" s="67"/>
      <c r="I42" s="67">
        <f>H42</f>
        <v>0</v>
      </c>
      <c r="J42" s="74"/>
    </row>
    <row r="43" spans="1:11" ht="13.2" x14ac:dyDescent="0.25">
      <c r="A43" s="10" t="s">
        <v>152</v>
      </c>
      <c r="B43" s="61">
        <v>166.05</v>
      </c>
      <c r="C43" s="42"/>
      <c r="D43" s="10">
        <v>500</v>
      </c>
      <c r="F43" s="156">
        <f>22.5+27.97</f>
        <v>50.47</v>
      </c>
      <c r="H43" s="67">
        <f t="shared" si="0"/>
        <v>86.52</v>
      </c>
      <c r="J43" s="74">
        <f>D43-H43</f>
        <v>413.48</v>
      </c>
      <c r="K43" s="10">
        <v>500</v>
      </c>
    </row>
    <row r="44" spans="1:11" s="152" customFormat="1" ht="13.2" x14ac:dyDescent="0.25">
      <c r="A44" s="133" t="s">
        <v>90</v>
      </c>
      <c r="B44" s="61"/>
      <c r="C44" s="153"/>
      <c r="D44" s="10"/>
      <c r="E44" s="153"/>
      <c r="F44" s="156"/>
      <c r="G44" s="153"/>
      <c r="H44" s="67"/>
      <c r="I44" s="154"/>
      <c r="J44" s="74"/>
    </row>
    <row r="45" spans="1:11" s="152" customFormat="1" ht="13.2" x14ac:dyDescent="0.25">
      <c r="A45" s="10" t="s">
        <v>166</v>
      </c>
      <c r="B45" s="61">
        <v>0</v>
      </c>
      <c r="C45" s="153"/>
      <c r="D45" s="58">
        <v>3000</v>
      </c>
      <c r="E45" s="153"/>
      <c r="F45" s="156">
        <v>1500</v>
      </c>
      <c r="G45" s="153"/>
      <c r="H45" s="67">
        <f t="shared" si="0"/>
        <v>2571.4285714285716</v>
      </c>
      <c r="I45" s="154"/>
      <c r="J45" s="74">
        <f t="shared" ref="J45:J50" si="4">D45-H45</f>
        <v>428.57142857142844</v>
      </c>
      <c r="K45" s="58">
        <v>3000</v>
      </c>
    </row>
    <row r="46" spans="1:11" s="152" customFormat="1" ht="13.2" x14ac:dyDescent="0.25">
      <c r="A46" s="10" t="s">
        <v>165</v>
      </c>
      <c r="B46" s="61">
        <v>0</v>
      </c>
      <c r="C46" s="153"/>
      <c r="D46" s="10">
        <v>5000</v>
      </c>
      <c r="E46" s="153"/>
      <c r="F46" s="156">
        <v>0</v>
      </c>
      <c r="G46" s="153"/>
      <c r="H46" s="67">
        <f t="shared" si="0"/>
        <v>0</v>
      </c>
      <c r="I46" s="154"/>
      <c r="J46" s="74">
        <f t="shared" si="4"/>
        <v>5000</v>
      </c>
      <c r="K46" s="58">
        <v>5000</v>
      </c>
    </row>
    <row r="47" spans="1:11" ht="13.2" x14ac:dyDescent="0.25">
      <c r="A47" s="10" t="s">
        <v>103</v>
      </c>
      <c r="B47" s="61">
        <v>1800</v>
      </c>
      <c r="D47" s="10">
        <v>2000</v>
      </c>
      <c r="F47" s="156">
        <v>0</v>
      </c>
      <c r="H47" s="67">
        <f t="shared" si="0"/>
        <v>0</v>
      </c>
      <c r="J47" s="74">
        <f t="shared" si="4"/>
        <v>2000</v>
      </c>
      <c r="K47" s="10">
        <v>0</v>
      </c>
    </row>
    <row r="48" spans="1:11" ht="13.2" x14ac:dyDescent="0.25">
      <c r="A48" s="10" t="s">
        <v>104</v>
      </c>
      <c r="B48" s="61">
        <v>0</v>
      </c>
      <c r="D48" s="10">
        <v>4000</v>
      </c>
      <c r="F48" s="156">
        <v>0</v>
      </c>
      <c r="H48" s="67">
        <v>6245</v>
      </c>
      <c r="J48" s="74">
        <f t="shared" si="4"/>
        <v>-2245</v>
      </c>
      <c r="K48" s="10">
        <v>0</v>
      </c>
    </row>
    <row r="49" spans="1:11" s="152" customFormat="1" ht="13.2" x14ac:dyDescent="0.25">
      <c r="A49" s="10" t="s">
        <v>167</v>
      </c>
      <c r="B49" s="62">
        <v>492.5</v>
      </c>
      <c r="C49" s="153"/>
      <c r="D49" s="10">
        <v>1000</v>
      </c>
      <c r="E49" s="153"/>
      <c r="F49" s="156">
        <f>167</f>
        <v>167</v>
      </c>
      <c r="G49" s="153"/>
      <c r="H49" s="67">
        <f t="shared" si="0"/>
        <v>286.28571428571428</v>
      </c>
      <c r="I49" s="154"/>
      <c r="J49" s="74">
        <f t="shared" si="4"/>
        <v>713.71428571428578</v>
      </c>
      <c r="K49" s="58">
        <v>1000</v>
      </c>
    </row>
    <row r="50" spans="1:11" ht="13.2" x14ac:dyDescent="0.25">
      <c r="A50" s="58" t="s">
        <v>170</v>
      </c>
      <c r="B50" s="62">
        <v>0</v>
      </c>
      <c r="D50" s="10">
        <v>10000</v>
      </c>
      <c r="F50" s="156">
        <v>0</v>
      </c>
      <c r="H50" s="67">
        <v>0</v>
      </c>
      <c r="J50" s="74">
        <f t="shared" si="4"/>
        <v>10000</v>
      </c>
      <c r="K50" s="10">
        <v>16000</v>
      </c>
    </row>
    <row r="51" spans="1:11" ht="13.2" x14ac:dyDescent="0.25">
      <c r="A51" s="58" t="s">
        <v>171</v>
      </c>
      <c r="B51" s="62"/>
      <c r="D51" s="10"/>
      <c r="F51" s="156"/>
      <c r="J51" s="74"/>
      <c r="K51" s="10">
        <v>5000</v>
      </c>
    </row>
    <row r="52" spans="1:11" ht="13.2" x14ac:dyDescent="0.25">
      <c r="A52" s="58" t="s">
        <v>172</v>
      </c>
      <c r="B52" s="62"/>
      <c r="D52" s="10"/>
      <c r="F52" s="156"/>
      <c r="J52" s="74"/>
      <c r="K52" s="10">
        <v>10000</v>
      </c>
    </row>
    <row r="53" spans="1:11" ht="13.2" x14ac:dyDescent="0.25">
      <c r="A53" s="58" t="s">
        <v>173</v>
      </c>
      <c r="B53" s="62"/>
      <c r="D53" s="10"/>
      <c r="F53" s="156"/>
      <c r="J53" s="74"/>
      <c r="K53" s="10">
        <v>50000</v>
      </c>
    </row>
    <row r="54" spans="1:11" ht="13.2" x14ac:dyDescent="0.25">
      <c r="A54" s="133" t="s">
        <v>101</v>
      </c>
      <c r="B54" s="62"/>
      <c r="D54" s="10"/>
      <c r="F54" s="156"/>
      <c r="J54" s="74"/>
    </row>
    <row r="55" spans="1:11" s="58" customFormat="1" ht="13.2" x14ac:dyDescent="0.25">
      <c r="A55" s="10" t="s">
        <v>122</v>
      </c>
      <c r="B55" s="62">
        <v>0</v>
      </c>
      <c r="C55" s="39"/>
      <c r="D55" s="58">
        <v>3930</v>
      </c>
      <c r="E55" s="39"/>
      <c r="F55" s="156">
        <v>7860</v>
      </c>
      <c r="G55" s="39"/>
      <c r="H55" s="67">
        <v>7860</v>
      </c>
      <c r="I55" s="155"/>
      <c r="J55" s="74">
        <f>D55-H55</f>
        <v>-3930</v>
      </c>
      <c r="K55" s="58">
        <v>0</v>
      </c>
    </row>
    <row r="56" spans="1:11" ht="13.2" x14ac:dyDescent="0.25">
      <c r="A56" s="10" t="s">
        <v>123</v>
      </c>
      <c r="B56" s="62">
        <v>102706</v>
      </c>
      <c r="D56" s="58">
        <v>280794</v>
      </c>
      <c r="F56" s="156">
        <v>272824.03999999998</v>
      </c>
      <c r="H56" s="67">
        <v>272824.03999999998</v>
      </c>
      <c r="J56" s="74">
        <f>D56-H56</f>
        <v>7969.960000000021</v>
      </c>
      <c r="K56" s="10">
        <v>10000</v>
      </c>
    </row>
    <row r="57" spans="1:11" ht="13.2" x14ac:dyDescent="0.25">
      <c r="A57" s="58" t="s">
        <v>102</v>
      </c>
      <c r="B57" s="62">
        <v>19995</v>
      </c>
      <c r="C57" s="42" t="s">
        <v>25</v>
      </c>
      <c r="D57" s="10">
        <v>0</v>
      </c>
      <c r="F57" s="156">
        <v>0</v>
      </c>
      <c r="H57" s="67">
        <f t="shared" si="0"/>
        <v>0</v>
      </c>
      <c r="J57" s="74">
        <f>D57-H57</f>
        <v>0</v>
      </c>
      <c r="K57" s="10">
        <v>0</v>
      </c>
    </row>
    <row r="58" spans="1:11" ht="13.2" x14ac:dyDescent="0.25">
      <c r="A58" s="10" t="s">
        <v>124</v>
      </c>
      <c r="B58" s="62">
        <v>6460.2</v>
      </c>
      <c r="C58" s="42"/>
      <c r="D58" s="10">
        <v>0</v>
      </c>
      <c r="F58" s="156">
        <v>0</v>
      </c>
      <c r="H58" s="67">
        <f t="shared" si="0"/>
        <v>0</v>
      </c>
      <c r="J58" s="74">
        <f>D58-H58</f>
        <v>0</v>
      </c>
      <c r="K58" s="10">
        <v>0</v>
      </c>
    </row>
    <row r="59" spans="1:11" ht="13.2" x14ac:dyDescent="0.25">
      <c r="B59" s="62"/>
      <c r="C59" s="42"/>
      <c r="D59" s="10"/>
      <c r="F59" s="156"/>
      <c r="J59" s="74"/>
    </row>
    <row r="60" spans="1:11" ht="13.2" x14ac:dyDescent="0.25">
      <c r="A60" s="10" t="s">
        <v>47</v>
      </c>
      <c r="B60" s="62">
        <v>3300</v>
      </c>
      <c r="C60" s="42"/>
      <c r="D60" s="10">
        <v>4000</v>
      </c>
      <c r="F60" s="156">
        <v>0</v>
      </c>
      <c r="H60" s="67">
        <v>0</v>
      </c>
      <c r="J60" s="74">
        <f>D60-H60</f>
        <v>4000</v>
      </c>
      <c r="K60" s="10">
        <v>5500</v>
      </c>
    </row>
    <row r="61" spans="1:11" ht="13.2" x14ac:dyDescent="0.25">
      <c r="B61" s="62"/>
      <c r="C61" s="42"/>
      <c r="D61" s="10"/>
      <c r="F61" s="156"/>
      <c r="J61" s="74"/>
    </row>
    <row r="62" spans="1:11" ht="13.2" x14ac:dyDescent="0.25">
      <c r="A62" s="10" t="s">
        <v>12</v>
      </c>
      <c r="B62" s="61">
        <v>549.42999999999995</v>
      </c>
      <c r="D62" s="10"/>
      <c r="F62" s="156">
        <v>283.83999999999997</v>
      </c>
      <c r="G62" s="41">
        <f>F62</f>
        <v>283.83999999999997</v>
      </c>
      <c r="H62" s="67">
        <v>283.83999999999997</v>
      </c>
      <c r="J62" s="74"/>
    </row>
    <row r="63" spans="1:11" ht="13.2" x14ac:dyDescent="0.25">
      <c r="A63" s="10" t="s">
        <v>13</v>
      </c>
      <c r="B63" s="62">
        <v>4837.53</v>
      </c>
      <c r="C63" s="39">
        <f>SUM(B63)</f>
        <v>4837.53</v>
      </c>
      <c r="D63" s="10"/>
      <c r="F63" s="156">
        <v>3204.29</v>
      </c>
      <c r="H63" s="67">
        <v>5000</v>
      </c>
      <c r="J63" s="74"/>
    </row>
    <row r="64" spans="1:11" ht="13.2" x14ac:dyDescent="0.25">
      <c r="B64" s="61"/>
      <c r="C64" s="39">
        <f>SUM(B64)</f>
        <v>0</v>
      </c>
      <c r="D64" s="10"/>
      <c r="F64" s="159"/>
      <c r="G64" s="43">
        <f>SUM(G2:G63)</f>
        <v>28884.429999999997</v>
      </c>
      <c r="I64" s="67">
        <f>SUM(I2:I57)</f>
        <v>53767.582857142857</v>
      </c>
      <c r="K64" s="143"/>
    </row>
    <row r="65" spans="1:11" ht="13.2" x14ac:dyDescent="0.25">
      <c r="A65" s="137" t="s">
        <v>33</v>
      </c>
      <c r="B65" s="166">
        <f>SUM(B3:B64)</f>
        <v>207336.49000000002</v>
      </c>
      <c r="C65" s="11"/>
      <c r="D65" s="167">
        <f>SUM(D3:D64)</f>
        <v>394785</v>
      </c>
      <c r="E65" s="31"/>
      <c r="F65" s="168">
        <f>SUM(F3:F64)</f>
        <v>319461.44</v>
      </c>
      <c r="G65" s="169">
        <f>F65</f>
        <v>319461.44</v>
      </c>
      <c r="H65" s="167">
        <f>SUM(H3:H63)</f>
        <v>358447.25714285712</v>
      </c>
      <c r="I65" s="170"/>
      <c r="J65" s="75">
        <f>D65-H65</f>
        <v>36337.742857142875</v>
      </c>
      <c r="K65" s="171">
        <f>SUM(K2:K64)</f>
        <v>187241</v>
      </c>
    </row>
    <row r="66" spans="1:11" ht="12" x14ac:dyDescent="0.25">
      <c r="A66" s="109"/>
      <c r="B66" s="106"/>
      <c r="C66" s="112"/>
      <c r="D66" s="113"/>
      <c r="E66" s="114"/>
      <c r="F66" s="115"/>
    </row>
    <row r="67" spans="1:11" x14ac:dyDescent="0.2">
      <c r="A67" s="107"/>
      <c r="B67" s="108"/>
      <c r="C67" s="116"/>
      <c r="D67" s="117"/>
      <c r="E67" s="118"/>
      <c r="F67" s="119"/>
    </row>
  </sheetData>
  <phoneticPr fontId="0" type="noConversion"/>
  <printOptions horizontalCentered="1" verticalCentered="1" gridLines="1"/>
  <pageMargins left="0.35433070866141736" right="0.35433070866141736" top="0.59055118110236227" bottom="0.94488188976377963" header="0.27559055118110237" footer="0.39370078740157483"/>
  <pageSetup paperSize="9" scale="85" orientation="portrait" horizontalDpi="300" verticalDpi="300" r:id="rId1"/>
  <headerFooter alignWithMargins="0">
    <oddHeader>&amp;L&amp;"Arial,Bold"&amp;11Nov 2023 - Finance Meeting &amp;C&amp;"Arial,Bold"&amp;11Charity - King George V EXPENDITURE 
2024/25 Proposed Budget&amp;R&amp;14Finance 1</oddHeader>
    <oddFooter>&amp;LBudget 2024/25  
November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workbookViewId="0">
      <pane ySplit="1" topLeftCell="A28" activePane="bottomLeft" state="frozen"/>
      <selection pane="bottomLeft" activeCell="K45" sqref="K45"/>
    </sheetView>
  </sheetViews>
  <sheetFormatPr defaultColWidth="9.109375" defaultRowHeight="12.75" customHeight="1" x14ac:dyDescent="0.25"/>
  <cols>
    <col min="1" max="1" width="43.33203125" style="3" bestFit="1" customWidth="1"/>
    <col min="2" max="2" width="13.33203125" style="3" customWidth="1"/>
    <col min="3" max="3" width="10.6640625" style="17" hidden="1" customWidth="1"/>
    <col min="4" max="4" width="10.33203125" style="31" customWidth="1"/>
    <col min="5" max="5" width="10.109375" style="49" hidden="1" customWidth="1"/>
    <col min="6" max="6" width="11.21875" style="3" bestFit="1" customWidth="1"/>
    <col min="7" max="7" width="10.109375" style="53" hidden="1" customWidth="1"/>
    <col min="8" max="8" width="10.44140625" style="47" customWidth="1"/>
    <col min="9" max="9" width="10.109375" style="47" hidden="1" customWidth="1"/>
    <col min="10" max="10" width="11.77734375" style="47" customWidth="1"/>
    <col min="11" max="11" width="11.6640625" style="3" bestFit="1" customWidth="1"/>
    <col min="12" max="16384" width="9.109375" style="3"/>
  </cols>
  <sheetData>
    <row r="1" spans="1:11" s="14" customFormat="1" ht="41.4" x14ac:dyDescent="0.25">
      <c r="A1" s="2" t="s">
        <v>36</v>
      </c>
      <c r="B1" s="14" t="s">
        <v>125</v>
      </c>
      <c r="C1" s="16" t="s">
        <v>0</v>
      </c>
      <c r="D1" s="14" t="s">
        <v>126</v>
      </c>
      <c r="E1" s="48" t="s">
        <v>0</v>
      </c>
      <c r="F1" s="160" t="s">
        <v>148</v>
      </c>
      <c r="G1" s="52" t="s">
        <v>0</v>
      </c>
      <c r="H1" s="46" t="s">
        <v>137</v>
      </c>
      <c r="I1" s="46" t="s">
        <v>59</v>
      </c>
      <c r="J1" s="79" t="s">
        <v>60</v>
      </c>
      <c r="K1" s="14" t="s">
        <v>147</v>
      </c>
    </row>
    <row r="2" spans="1:11" s="9" customFormat="1" ht="12.75" customHeight="1" x14ac:dyDescent="0.25">
      <c r="A2" s="135" t="s">
        <v>1</v>
      </c>
      <c r="C2" s="13">
        <f>SUM(B3:B15)</f>
        <v>30799.969999999998</v>
      </c>
      <c r="E2" s="50">
        <f>SUM(D3:D7)</f>
        <v>19261</v>
      </c>
      <c r="F2" s="160"/>
      <c r="G2" s="54">
        <f>SUM(F3:F7)</f>
        <v>10981.86</v>
      </c>
      <c r="H2" s="77"/>
      <c r="I2" s="54">
        <f>SUM(H3:H16)</f>
        <v>27034.954285714281</v>
      </c>
      <c r="J2" s="76"/>
    </row>
    <row r="3" spans="1:11" ht="12.75" customHeight="1" x14ac:dyDescent="0.25">
      <c r="A3" s="3" t="s">
        <v>93</v>
      </c>
      <c r="B3" s="11">
        <v>13891.69</v>
      </c>
      <c r="C3" s="12"/>
      <c r="D3" s="3">
        <v>13337</v>
      </c>
      <c r="F3" s="156">
        <f>6632.18+736.16+139.88</f>
        <v>7508.22</v>
      </c>
      <c r="H3" s="68">
        <f>SUM(F3/7)*12</f>
        <v>12871.234285714287</v>
      </c>
      <c r="I3" s="68"/>
      <c r="J3" s="75">
        <f t="shared" ref="J3:J9" si="0">D3-H3</f>
        <v>465.76571428571333</v>
      </c>
      <c r="K3" s="3">
        <v>14230</v>
      </c>
    </row>
    <row r="4" spans="1:11" ht="12.75" customHeight="1" x14ac:dyDescent="0.25">
      <c r="A4" s="3" t="s">
        <v>94</v>
      </c>
      <c r="B4" s="11">
        <v>5896.34</v>
      </c>
      <c r="C4" s="12"/>
      <c r="D4" s="3">
        <v>5222</v>
      </c>
      <c r="F4" s="156">
        <v>3047.1</v>
      </c>
      <c r="H4" s="68">
        <f t="shared" ref="H4:H42" si="1">SUM(F4/7)*12</f>
        <v>5223.6000000000004</v>
      </c>
      <c r="I4" s="68"/>
      <c r="J4" s="75">
        <f t="shared" si="0"/>
        <v>-1.6000000000003638</v>
      </c>
      <c r="K4" s="3">
        <v>5597</v>
      </c>
    </row>
    <row r="5" spans="1:11" ht="12.75" customHeight="1" x14ac:dyDescent="0.25">
      <c r="A5" s="3" t="s">
        <v>129</v>
      </c>
      <c r="B5" s="11">
        <v>1214.9100000000001</v>
      </c>
      <c r="C5" s="12"/>
      <c r="D5" s="3">
        <v>0</v>
      </c>
      <c r="F5" s="156">
        <v>0</v>
      </c>
      <c r="H5" s="68">
        <f t="shared" si="1"/>
        <v>0</v>
      </c>
      <c r="I5" s="68"/>
      <c r="J5" s="75">
        <f t="shared" si="0"/>
        <v>0</v>
      </c>
      <c r="K5" s="3">
        <v>0</v>
      </c>
    </row>
    <row r="6" spans="1:11" ht="12.75" customHeight="1" x14ac:dyDescent="0.25">
      <c r="A6" s="3" t="s">
        <v>130</v>
      </c>
      <c r="B6" s="11">
        <v>832.99</v>
      </c>
      <c r="C6" s="12"/>
      <c r="D6" s="3">
        <v>702</v>
      </c>
      <c r="F6" s="156">
        <v>426.54</v>
      </c>
      <c r="H6" s="68">
        <f t="shared" si="1"/>
        <v>731.21142857142854</v>
      </c>
      <c r="I6" s="68"/>
      <c r="J6" s="75">
        <f t="shared" si="0"/>
        <v>-29.211428571428542</v>
      </c>
      <c r="K6" s="3">
        <v>720</v>
      </c>
    </row>
    <row r="7" spans="1:11" ht="12.75" customHeight="1" x14ac:dyDescent="0.25">
      <c r="A7" s="3" t="s">
        <v>131</v>
      </c>
      <c r="B7" s="11">
        <v>282.98</v>
      </c>
      <c r="C7" s="12"/>
      <c r="D7" s="3">
        <v>0</v>
      </c>
      <c r="F7" s="156">
        <v>0</v>
      </c>
      <c r="H7" s="68">
        <f t="shared" si="1"/>
        <v>0</v>
      </c>
      <c r="I7" s="68"/>
      <c r="J7" s="75">
        <f t="shared" si="0"/>
        <v>0</v>
      </c>
      <c r="K7" s="3">
        <v>0</v>
      </c>
    </row>
    <row r="8" spans="1:11" ht="12.75" customHeight="1" x14ac:dyDescent="0.25">
      <c r="A8" s="3" t="s">
        <v>132</v>
      </c>
      <c r="B8" s="11">
        <v>1075.51</v>
      </c>
      <c r="C8" s="12"/>
      <c r="D8" s="3">
        <v>800</v>
      </c>
      <c r="F8" s="156">
        <f>256.72+254.26+824.64</f>
        <v>1335.62</v>
      </c>
      <c r="H8" s="68">
        <v>1000</v>
      </c>
      <c r="I8" s="68"/>
      <c r="J8" s="75">
        <f t="shared" si="0"/>
        <v>-200</v>
      </c>
      <c r="K8" s="3">
        <v>893</v>
      </c>
    </row>
    <row r="9" spans="1:11" ht="12.75" customHeight="1" x14ac:dyDescent="0.25">
      <c r="A9" s="3" t="s">
        <v>107</v>
      </c>
      <c r="B9" s="11">
        <v>645.4</v>
      </c>
      <c r="C9" s="12"/>
      <c r="D9" s="3">
        <v>772</v>
      </c>
      <c r="F9" s="156">
        <v>319.91000000000003</v>
      </c>
      <c r="H9" s="68">
        <f t="shared" si="1"/>
        <v>548.41714285714284</v>
      </c>
      <c r="I9" s="68"/>
      <c r="J9" s="75">
        <f t="shared" si="0"/>
        <v>223.58285714285716</v>
      </c>
      <c r="K9" s="3">
        <v>540</v>
      </c>
    </row>
    <row r="10" spans="1:11" ht="12.75" customHeight="1" x14ac:dyDescent="0.25">
      <c r="A10" s="3" t="s">
        <v>133</v>
      </c>
      <c r="B10" s="11">
        <v>4193.8</v>
      </c>
      <c r="C10" s="12"/>
      <c r="D10" s="3"/>
      <c r="F10" s="156"/>
      <c r="H10" s="68"/>
      <c r="I10" s="68"/>
      <c r="J10" s="75"/>
    </row>
    <row r="11" spans="1:11" s="9" customFormat="1" ht="12.75" customHeight="1" x14ac:dyDescent="0.25">
      <c r="A11" s="135" t="s">
        <v>6</v>
      </c>
      <c r="B11" s="69"/>
      <c r="C11" s="12">
        <v>2766.3500000000004</v>
      </c>
      <c r="D11" s="3"/>
      <c r="E11" s="50">
        <v>3000</v>
      </c>
      <c r="F11" s="156"/>
      <c r="G11" s="54">
        <f>SUM(F12:F16)</f>
        <v>3243.62</v>
      </c>
      <c r="H11" s="68"/>
      <c r="I11" s="68">
        <f>SUM(H12:H16)</f>
        <v>6660.4914285714276</v>
      </c>
      <c r="J11" s="75"/>
    </row>
    <row r="12" spans="1:11" ht="12.75" customHeight="1" x14ac:dyDescent="0.25">
      <c r="A12" s="3" t="s">
        <v>64</v>
      </c>
      <c r="B12" s="11">
        <v>0</v>
      </c>
      <c r="C12" s="12"/>
      <c r="D12" s="3">
        <v>200</v>
      </c>
      <c r="F12" s="156">
        <v>0</v>
      </c>
      <c r="H12" s="68">
        <f t="shared" si="1"/>
        <v>0</v>
      </c>
      <c r="I12" s="68"/>
      <c r="J12" s="75">
        <f>D12-H12</f>
        <v>200</v>
      </c>
      <c r="K12" s="3">
        <v>200</v>
      </c>
    </row>
    <row r="13" spans="1:11" ht="12.75" customHeight="1" x14ac:dyDescent="0.25">
      <c r="A13" s="3" t="s">
        <v>7</v>
      </c>
      <c r="B13" s="11">
        <v>1368.26</v>
      </c>
      <c r="C13" s="12"/>
      <c r="D13" s="3">
        <v>1100</v>
      </c>
      <c r="F13" s="156">
        <v>0</v>
      </c>
      <c r="H13" s="68">
        <v>1100</v>
      </c>
      <c r="I13" s="68"/>
      <c r="J13" s="75">
        <f>D13-H13</f>
        <v>0</v>
      </c>
      <c r="K13" s="3">
        <v>1300</v>
      </c>
    </row>
    <row r="14" spans="1:11" ht="12.75" customHeight="1" x14ac:dyDescent="0.25">
      <c r="A14" s="3" t="s">
        <v>75</v>
      </c>
      <c r="B14" s="11">
        <v>810</v>
      </c>
      <c r="C14" s="12"/>
      <c r="D14" s="3">
        <v>700</v>
      </c>
      <c r="F14" s="156">
        <v>825</v>
      </c>
      <c r="H14" s="68">
        <f t="shared" si="1"/>
        <v>1414.2857142857142</v>
      </c>
      <c r="I14" s="68"/>
      <c r="J14" s="75">
        <f>D14-H14</f>
        <v>-714.28571428571422</v>
      </c>
      <c r="K14" s="3">
        <v>1000</v>
      </c>
    </row>
    <row r="15" spans="1:11" ht="12.75" customHeight="1" x14ac:dyDescent="0.25">
      <c r="A15" s="3" t="s">
        <v>174</v>
      </c>
      <c r="B15" s="11">
        <v>588.09</v>
      </c>
      <c r="C15" s="12"/>
      <c r="D15" s="3">
        <v>1000</v>
      </c>
      <c r="F15" s="156">
        <v>0</v>
      </c>
      <c r="H15" s="68">
        <f t="shared" si="1"/>
        <v>0</v>
      </c>
      <c r="I15" s="68"/>
      <c r="J15" s="75">
        <f>D15-H15</f>
        <v>1000</v>
      </c>
      <c r="K15" s="3">
        <v>1000</v>
      </c>
    </row>
    <row r="16" spans="1:11" ht="12.75" customHeight="1" x14ac:dyDescent="0.25">
      <c r="A16" s="3" t="s">
        <v>151</v>
      </c>
      <c r="B16" s="11">
        <v>5169.7700000000004</v>
      </c>
      <c r="C16" s="12"/>
      <c r="D16" s="3">
        <v>5500</v>
      </c>
      <c r="F16" s="156">
        <v>2418.62</v>
      </c>
      <c r="H16" s="68">
        <f t="shared" si="1"/>
        <v>4146.2057142857138</v>
      </c>
      <c r="I16" s="68"/>
      <c r="J16" s="75">
        <f>D16-H16</f>
        <v>1353.7942857142862</v>
      </c>
      <c r="K16" s="3">
        <v>4500</v>
      </c>
    </row>
    <row r="17" spans="1:14" ht="12.75" customHeight="1" x14ac:dyDescent="0.25">
      <c r="B17" s="11"/>
      <c r="C17" s="12"/>
      <c r="D17" s="3"/>
      <c r="F17" s="156"/>
      <c r="H17" s="68"/>
      <c r="I17" s="68"/>
      <c r="J17" s="75"/>
    </row>
    <row r="18" spans="1:14" s="9" customFormat="1" ht="12.75" customHeight="1" x14ac:dyDescent="0.25">
      <c r="A18" s="135" t="s">
        <v>8</v>
      </c>
      <c r="B18" s="11"/>
      <c r="C18" s="12">
        <v>10726.69</v>
      </c>
      <c r="D18" s="3"/>
      <c r="E18" s="50">
        <v>4635</v>
      </c>
      <c r="F18" s="156"/>
      <c r="G18" s="54">
        <f>SUM(F19:F27)</f>
        <v>10364.620000000001</v>
      </c>
      <c r="H18" s="68"/>
      <c r="I18" s="68">
        <f>SUM(H19:H28)</f>
        <v>14456.274285714284</v>
      </c>
      <c r="J18" s="75"/>
    </row>
    <row r="19" spans="1:14" ht="12.75" customHeight="1" x14ac:dyDescent="0.25">
      <c r="A19" s="3" t="s">
        <v>9</v>
      </c>
      <c r="B19" s="11">
        <v>864.69</v>
      </c>
      <c r="C19" s="12"/>
      <c r="D19" s="3">
        <v>1200</v>
      </c>
      <c r="F19" s="156">
        <v>4644.46</v>
      </c>
      <c r="H19" s="68">
        <v>1161</v>
      </c>
      <c r="I19" s="68"/>
      <c r="J19" s="75">
        <f t="shared" ref="J19:J29" si="2">D19-H19</f>
        <v>39</v>
      </c>
      <c r="K19" s="3">
        <v>1320</v>
      </c>
    </row>
    <row r="20" spans="1:14" ht="12.75" customHeight="1" x14ac:dyDescent="0.25">
      <c r="A20" s="3" t="s">
        <v>10</v>
      </c>
      <c r="B20" s="11">
        <v>0</v>
      </c>
      <c r="C20" s="12"/>
      <c r="D20" s="3">
        <v>600</v>
      </c>
      <c r="F20" s="156">
        <v>0</v>
      </c>
      <c r="H20" s="68">
        <v>600</v>
      </c>
      <c r="I20" s="68"/>
      <c r="J20" s="75">
        <f t="shared" si="2"/>
        <v>0</v>
      </c>
      <c r="K20" s="3">
        <v>615</v>
      </c>
    </row>
    <row r="21" spans="1:14" ht="12.75" customHeight="1" x14ac:dyDescent="0.25">
      <c r="A21" s="3" t="s">
        <v>66</v>
      </c>
      <c r="B21" s="11">
        <v>475.77</v>
      </c>
      <c r="C21" s="12"/>
      <c r="D21" s="3">
        <v>450</v>
      </c>
      <c r="F21" s="157">
        <v>249.6</v>
      </c>
      <c r="H21" s="68">
        <f t="shared" si="1"/>
        <v>427.8857142857143</v>
      </c>
      <c r="I21" s="68"/>
      <c r="J21" s="75">
        <f t="shared" si="2"/>
        <v>22.1142857142857</v>
      </c>
      <c r="K21" s="3">
        <v>450</v>
      </c>
    </row>
    <row r="22" spans="1:14" ht="12.75" customHeight="1" x14ac:dyDescent="0.25">
      <c r="A22" s="3" t="s">
        <v>134</v>
      </c>
      <c r="B22" s="11">
        <v>1200</v>
      </c>
      <c r="C22" s="12"/>
      <c r="D22" s="3">
        <v>1200</v>
      </c>
      <c r="F22" s="157">
        <v>700</v>
      </c>
      <c r="H22" s="68">
        <f t="shared" si="1"/>
        <v>1200</v>
      </c>
      <c r="I22" s="68"/>
      <c r="J22" s="75">
        <f t="shared" si="2"/>
        <v>0</v>
      </c>
      <c r="K22" s="3">
        <v>1200</v>
      </c>
      <c r="N22" s="68"/>
    </row>
    <row r="23" spans="1:14" ht="12.75" customHeight="1" x14ac:dyDescent="0.25">
      <c r="A23" s="3" t="s">
        <v>44</v>
      </c>
      <c r="B23" s="11">
        <v>1.3</v>
      </c>
      <c r="C23" s="12"/>
      <c r="D23" s="3">
        <v>10</v>
      </c>
      <c r="F23" s="156">
        <v>1.85</v>
      </c>
      <c r="H23" s="68">
        <f t="shared" si="1"/>
        <v>3.1714285714285717</v>
      </c>
      <c r="I23" s="68"/>
      <c r="J23" s="75">
        <f t="shared" si="2"/>
        <v>6.8285714285714283</v>
      </c>
      <c r="K23" s="3">
        <v>5</v>
      </c>
    </row>
    <row r="24" spans="1:14" ht="12.75" customHeight="1" x14ac:dyDescent="0.25">
      <c r="A24" s="3" t="s">
        <v>67</v>
      </c>
      <c r="B24" s="11">
        <v>670</v>
      </c>
      <c r="C24" s="12"/>
      <c r="D24" s="3">
        <v>775</v>
      </c>
      <c r="F24" s="156">
        <v>0</v>
      </c>
      <c r="H24" s="68">
        <v>675</v>
      </c>
      <c r="I24" s="68"/>
      <c r="J24" s="75">
        <f t="shared" si="2"/>
        <v>100</v>
      </c>
      <c r="K24" s="3">
        <v>675</v>
      </c>
    </row>
    <row r="25" spans="1:14" ht="12.75" customHeight="1" x14ac:dyDescent="0.25">
      <c r="A25" s="3" t="s">
        <v>65</v>
      </c>
      <c r="B25" s="11">
        <v>400</v>
      </c>
      <c r="C25" s="12"/>
      <c r="D25" s="3">
        <v>400</v>
      </c>
      <c r="F25" s="156">
        <v>400</v>
      </c>
      <c r="H25" s="68">
        <v>400</v>
      </c>
      <c r="I25" s="68"/>
      <c r="J25" s="75">
        <f t="shared" si="2"/>
        <v>0</v>
      </c>
      <c r="K25" s="3">
        <v>400</v>
      </c>
    </row>
    <row r="26" spans="1:14" ht="12.75" customHeight="1" x14ac:dyDescent="0.25">
      <c r="A26" s="3" t="s">
        <v>68</v>
      </c>
      <c r="B26" s="11">
        <v>514.92999999999995</v>
      </c>
      <c r="C26" s="12"/>
      <c r="D26" s="3">
        <v>600</v>
      </c>
      <c r="F26" s="156">
        <v>168.71</v>
      </c>
      <c r="H26" s="68">
        <f t="shared" si="1"/>
        <v>289.2171428571429</v>
      </c>
      <c r="I26" s="68"/>
      <c r="J26" s="75">
        <f t="shared" si="2"/>
        <v>310.7828571428571</v>
      </c>
      <c r="K26" s="3">
        <v>500</v>
      </c>
    </row>
    <row r="27" spans="1:14" ht="12.75" customHeight="1" x14ac:dyDescent="0.25">
      <c r="A27" s="3" t="s">
        <v>95</v>
      </c>
      <c r="B27" s="11">
        <v>6600</v>
      </c>
      <c r="C27" s="12"/>
      <c r="D27" s="3">
        <v>7200</v>
      </c>
      <c r="F27" s="156">
        <v>4200</v>
      </c>
      <c r="H27" s="68">
        <f t="shared" si="1"/>
        <v>7200</v>
      </c>
      <c r="I27" s="68"/>
      <c r="J27" s="75">
        <f t="shared" si="2"/>
        <v>0</v>
      </c>
      <c r="K27" s="3">
        <v>7200</v>
      </c>
    </row>
    <row r="28" spans="1:14" ht="12.75" customHeight="1" x14ac:dyDescent="0.25">
      <c r="A28" s="3" t="s">
        <v>108</v>
      </c>
      <c r="B28" s="11">
        <v>2150</v>
      </c>
      <c r="C28" s="12"/>
      <c r="D28" s="3">
        <v>1000</v>
      </c>
      <c r="F28" s="156">
        <v>1900</v>
      </c>
      <c r="H28" s="68">
        <v>2500</v>
      </c>
      <c r="I28" s="68"/>
      <c r="J28" s="75">
        <f t="shared" si="2"/>
        <v>-1500</v>
      </c>
      <c r="K28" s="3">
        <v>2500</v>
      </c>
    </row>
    <row r="29" spans="1:14" ht="12.75" customHeight="1" x14ac:dyDescent="0.25">
      <c r="A29" s="3" t="s">
        <v>52</v>
      </c>
      <c r="B29" s="11">
        <v>110</v>
      </c>
      <c r="C29" s="12"/>
      <c r="D29" s="3">
        <v>200</v>
      </c>
      <c r="F29" s="156">
        <v>158.1</v>
      </c>
      <c r="H29" s="68">
        <f t="shared" si="1"/>
        <v>271.02857142857141</v>
      </c>
      <c r="I29" s="68"/>
      <c r="J29" s="75">
        <f t="shared" si="2"/>
        <v>-71.028571428571411</v>
      </c>
      <c r="K29" s="3">
        <v>200</v>
      </c>
    </row>
    <row r="30" spans="1:14" ht="12.75" customHeight="1" x14ac:dyDescent="0.25">
      <c r="B30" s="11"/>
      <c r="C30" s="12">
        <v>2150</v>
      </c>
      <c r="D30" s="3"/>
      <c r="E30" s="51">
        <v>1000</v>
      </c>
      <c r="F30" s="156"/>
      <c r="G30" s="53">
        <f>F30</f>
        <v>0</v>
      </c>
      <c r="H30" s="68"/>
      <c r="I30" s="68">
        <f>H30</f>
        <v>0</v>
      </c>
      <c r="J30" s="75"/>
    </row>
    <row r="31" spans="1:14" ht="12.75" customHeight="1" x14ac:dyDescent="0.25">
      <c r="A31" s="136" t="s">
        <v>51</v>
      </c>
      <c r="B31" s="11">
        <v>1090</v>
      </c>
      <c r="C31" s="12">
        <v>110</v>
      </c>
      <c r="D31" s="3">
        <v>1185</v>
      </c>
      <c r="E31" s="51">
        <v>200</v>
      </c>
      <c r="F31" s="156">
        <v>1144.5</v>
      </c>
      <c r="G31" s="53">
        <f>F31</f>
        <v>1144.5</v>
      </c>
      <c r="H31" s="68">
        <v>1145</v>
      </c>
      <c r="I31" s="68">
        <f>H31</f>
        <v>1145</v>
      </c>
      <c r="J31" s="75">
        <f>D31-H31</f>
        <v>40</v>
      </c>
      <c r="K31" s="3">
        <v>1145</v>
      </c>
    </row>
    <row r="32" spans="1:14" ht="12.75" customHeight="1" x14ac:dyDescent="0.25">
      <c r="A32" s="136" t="s">
        <v>53</v>
      </c>
      <c r="B32" s="11">
        <v>2120.64</v>
      </c>
      <c r="C32" s="12">
        <v>0</v>
      </c>
      <c r="D32" s="3">
        <v>1000</v>
      </c>
      <c r="E32" s="51">
        <v>0</v>
      </c>
      <c r="F32" s="156">
        <v>205.68</v>
      </c>
      <c r="G32" s="53">
        <f>F32</f>
        <v>205.68</v>
      </c>
      <c r="H32" s="68">
        <v>1500</v>
      </c>
      <c r="I32" s="68">
        <f>H32</f>
        <v>1500</v>
      </c>
      <c r="J32" s="75">
        <f>D32-H32</f>
        <v>-500</v>
      </c>
      <c r="K32" s="3">
        <v>1500</v>
      </c>
    </row>
    <row r="33" spans="1:11" ht="12.75" customHeight="1" x14ac:dyDescent="0.25">
      <c r="A33" s="136" t="s">
        <v>11</v>
      </c>
      <c r="B33" s="11">
        <v>529.27</v>
      </c>
      <c r="C33" s="12">
        <v>1090</v>
      </c>
      <c r="D33" s="3">
        <v>650</v>
      </c>
      <c r="E33" s="51">
        <v>1185</v>
      </c>
      <c r="F33" s="156">
        <v>562.82999999999993</v>
      </c>
      <c r="G33" s="53" t="e">
        <f>#REF!</f>
        <v>#REF!</v>
      </c>
      <c r="H33" s="68">
        <v>600</v>
      </c>
      <c r="I33" s="68">
        <f>H33</f>
        <v>600</v>
      </c>
      <c r="J33" s="75">
        <f>D33-H33</f>
        <v>50</v>
      </c>
      <c r="K33" s="3">
        <v>600</v>
      </c>
    </row>
    <row r="34" spans="1:11" ht="12.75" customHeight="1" x14ac:dyDescent="0.25">
      <c r="A34" s="136" t="s">
        <v>49</v>
      </c>
      <c r="B34" s="11">
        <v>567.04999999999995</v>
      </c>
      <c r="C34" s="12"/>
      <c r="D34" s="3">
        <v>500</v>
      </c>
      <c r="F34" s="156">
        <v>269.74</v>
      </c>
      <c r="H34" s="68">
        <f t="shared" si="1"/>
        <v>462.41142857142859</v>
      </c>
      <c r="I34" s="68"/>
      <c r="J34" s="75">
        <f>D34-H34</f>
        <v>37.588571428571413</v>
      </c>
      <c r="K34" s="3">
        <v>500</v>
      </c>
    </row>
    <row r="35" spans="1:11" s="9" customFormat="1" ht="12.75" customHeight="1" x14ac:dyDescent="0.25">
      <c r="A35" s="3" t="s">
        <v>111</v>
      </c>
      <c r="B35" s="11"/>
      <c r="C35" s="12">
        <v>2517.39</v>
      </c>
      <c r="D35" s="3"/>
      <c r="E35" s="50">
        <v>3500</v>
      </c>
      <c r="F35" s="156"/>
      <c r="G35" s="54">
        <f>SUM(F34:F41)</f>
        <v>1316.74</v>
      </c>
      <c r="H35" s="68"/>
      <c r="I35" s="68">
        <f>SUM(H36:H39)</f>
        <v>1794.8571428571431</v>
      </c>
      <c r="J35" s="75"/>
    </row>
    <row r="36" spans="1:11" ht="12.75" customHeight="1" x14ac:dyDescent="0.25">
      <c r="A36" s="135" t="s">
        <v>90</v>
      </c>
      <c r="B36" s="11"/>
      <c r="C36" s="12"/>
      <c r="D36" s="3"/>
      <c r="F36" s="156"/>
      <c r="H36" s="68"/>
      <c r="I36" s="68"/>
      <c r="J36" s="75"/>
    </row>
    <row r="37" spans="1:11" ht="12.75" customHeight="1" x14ac:dyDescent="0.25">
      <c r="A37" s="3" t="s">
        <v>69</v>
      </c>
      <c r="B37" s="11">
        <v>1950.34</v>
      </c>
      <c r="C37" s="12"/>
      <c r="D37" s="3">
        <v>0</v>
      </c>
      <c r="F37" s="156">
        <v>0</v>
      </c>
      <c r="H37" s="68">
        <f t="shared" si="1"/>
        <v>0</v>
      </c>
      <c r="I37" s="68"/>
      <c r="J37" s="75">
        <f>D37-H37</f>
        <v>0</v>
      </c>
      <c r="K37" s="3">
        <v>0</v>
      </c>
    </row>
    <row r="38" spans="1:11" ht="12.75" customHeight="1" x14ac:dyDescent="0.25">
      <c r="A38" s="3" t="s">
        <v>175</v>
      </c>
      <c r="B38" s="11">
        <v>3724.44</v>
      </c>
      <c r="C38" s="12"/>
      <c r="D38" s="3">
        <v>2000</v>
      </c>
      <c r="F38" s="156">
        <v>1047</v>
      </c>
      <c r="H38" s="68">
        <f t="shared" si="1"/>
        <v>1794.8571428571431</v>
      </c>
      <c r="I38" s="68"/>
      <c r="J38" s="75">
        <f>D38-H38</f>
        <v>205.14285714285688</v>
      </c>
      <c r="K38" s="3">
        <v>2000</v>
      </c>
    </row>
    <row r="39" spans="1:11" ht="12.75" customHeight="1" x14ac:dyDescent="0.25">
      <c r="A39" s="3" t="s">
        <v>176</v>
      </c>
      <c r="B39" s="11">
        <v>536</v>
      </c>
      <c r="C39" s="12"/>
      <c r="D39" s="3">
        <v>500</v>
      </c>
      <c r="F39" s="156">
        <v>0</v>
      </c>
      <c r="H39" s="68">
        <f t="shared" si="1"/>
        <v>0</v>
      </c>
      <c r="I39" s="68"/>
      <c r="J39" s="75">
        <f>D39-H39</f>
        <v>500</v>
      </c>
      <c r="K39" s="3">
        <v>1000</v>
      </c>
    </row>
    <row r="40" spans="1:11" ht="12.75" customHeight="1" x14ac:dyDescent="0.25">
      <c r="A40" s="3" t="s">
        <v>116</v>
      </c>
      <c r="B40" s="11">
        <v>1747.06</v>
      </c>
      <c r="C40" s="12"/>
      <c r="D40" s="3">
        <v>500</v>
      </c>
      <c r="F40" s="156">
        <v>0</v>
      </c>
      <c r="H40" s="68">
        <f t="shared" si="1"/>
        <v>0</v>
      </c>
      <c r="I40" s="68"/>
      <c r="J40" s="75">
        <f>D40-H40</f>
        <v>500</v>
      </c>
      <c r="K40" s="3">
        <v>500</v>
      </c>
    </row>
    <row r="41" spans="1:11" s="30" customFormat="1" ht="12.75" customHeight="1" x14ac:dyDescent="0.25">
      <c r="A41" s="3" t="s">
        <v>112</v>
      </c>
      <c r="B41" s="11">
        <v>4971.2</v>
      </c>
      <c r="C41" s="147"/>
      <c r="D41" s="3">
        <v>0</v>
      </c>
      <c r="E41" s="148"/>
      <c r="F41" s="156">
        <v>0</v>
      </c>
      <c r="G41" s="149"/>
      <c r="H41" s="68">
        <f t="shared" si="1"/>
        <v>0</v>
      </c>
      <c r="I41" s="132"/>
      <c r="J41" s="75">
        <v>0</v>
      </c>
      <c r="K41" s="3">
        <v>0</v>
      </c>
    </row>
    <row r="42" spans="1:11" ht="12.75" customHeight="1" x14ac:dyDescent="0.25">
      <c r="A42" s="30" t="s">
        <v>109</v>
      </c>
      <c r="B42" s="11">
        <v>0</v>
      </c>
      <c r="C42" s="12"/>
      <c r="D42" s="3">
        <v>12457</v>
      </c>
      <c r="F42" s="156">
        <v>0</v>
      </c>
      <c r="H42" s="68">
        <f t="shared" si="1"/>
        <v>0</v>
      </c>
      <c r="I42" s="68"/>
      <c r="J42" s="75">
        <f>D42-H42</f>
        <v>12457</v>
      </c>
      <c r="K42" s="3">
        <v>0</v>
      </c>
    </row>
    <row r="43" spans="1:11" ht="12.75" customHeight="1" x14ac:dyDescent="0.25">
      <c r="B43" s="11"/>
      <c r="C43" s="12"/>
      <c r="D43" s="3"/>
      <c r="F43" s="156"/>
      <c r="H43" s="68"/>
      <c r="I43" s="68"/>
      <c r="J43" s="75"/>
    </row>
    <row r="44" spans="1:11" ht="12.75" customHeight="1" x14ac:dyDescent="0.25">
      <c r="A44" s="3" t="s">
        <v>50</v>
      </c>
      <c r="B44" s="11">
        <v>1500</v>
      </c>
      <c r="C44" s="12"/>
      <c r="D44" s="3">
        <v>3500</v>
      </c>
      <c r="F44" s="156">
        <v>0</v>
      </c>
      <c r="H44" s="68">
        <v>0</v>
      </c>
      <c r="I44" s="68"/>
      <c r="J44" s="75">
        <f>D44-H44</f>
        <v>3500</v>
      </c>
      <c r="K44" s="3">
        <v>2750</v>
      </c>
    </row>
    <row r="45" spans="1:11" ht="12.75" customHeight="1" x14ac:dyDescent="0.25">
      <c r="A45" s="3" t="s">
        <v>110</v>
      </c>
      <c r="C45" s="12"/>
      <c r="D45" s="3"/>
      <c r="H45" s="68"/>
      <c r="I45" s="11"/>
      <c r="J45" s="75"/>
    </row>
    <row r="46" spans="1:11" ht="12.75" customHeight="1" x14ac:dyDescent="0.25">
      <c r="C46" s="12"/>
      <c r="D46" s="3"/>
      <c r="H46" s="68"/>
      <c r="I46" s="11"/>
      <c r="J46" s="75"/>
    </row>
    <row r="47" spans="1:11" ht="12.75" customHeight="1" x14ac:dyDescent="0.25">
      <c r="B47" s="11"/>
      <c r="C47" s="12">
        <v>500</v>
      </c>
      <c r="D47" s="3"/>
      <c r="G47" s="53">
        <v>825</v>
      </c>
      <c r="H47" s="68"/>
      <c r="I47" s="11"/>
      <c r="J47" s="75"/>
    </row>
    <row r="48" spans="1:11" ht="12.75" customHeight="1" x14ac:dyDescent="0.25">
      <c r="A48" s="3" t="s">
        <v>12</v>
      </c>
      <c r="B48" s="11">
        <v>500</v>
      </c>
      <c r="C48" s="12">
        <v>3974.45</v>
      </c>
      <c r="D48" s="3"/>
      <c r="F48" s="156">
        <v>515</v>
      </c>
      <c r="G48" s="53" t="e">
        <f>#REF!</f>
        <v>#REF!</v>
      </c>
      <c r="H48" s="68">
        <v>515</v>
      </c>
      <c r="I48" s="11"/>
      <c r="J48" s="75"/>
    </row>
    <row r="49" spans="1:11" ht="12.75" customHeight="1" x14ac:dyDescent="0.25">
      <c r="A49" s="3" t="s">
        <v>13</v>
      </c>
      <c r="B49" s="11">
        <v>3974.45</v>
      </c>
      <c r="C49" s="12"/>
      <c r="D49" s="3"/>
      <c r="F49" s="156">
        <v>504.33</v>
      </c>
      <c r="H49" s="68">
        <v>2500</v>
      </c>
      <c r="I49" s="11"/>
      <c r="J49" s="75"/>
    </row>
    <row r="50" spans="1:11" s="9" customFormat="1" ht="12.75" customHeight="1" x14ac:dyDescent="0.25">
      <c r="A50" s="3"/>
      <c r="B50" s="3"/>
      <c r="C50" s="15">
        <v>54634.85</v>
      </c>
      <c r="D50" s="3"/>
      <c r="E50" s="50">
        <v>32781</v>
      </c>
      <c r="F50" s="156"/>
      <c r="G50" s="54" t="e">
        <f>SUM(G2:G48)</f>
        <v>#REF!</v>
      </c>
      <c r="I50" s="57">
        <f>SUM(I2:I39)</f>
        <v>53191.577142857132</v>
      </c>
      <c r="K50" s="150"/>
    </row>
    <row r="51" spans="1:11" ht="12.75" customHeight="1" thickBot="1" x14ac:dyDescent="0.3">
      <c r="A51" s="135" t="s">
        <v>33</v>
      </c>
      <c r="B51" s="1">
        <v>72166.87999999999</v>
      </c>
      <c r="C51" s="122"/>
      <c r="D51" s="1">
        <v>65260</v>
      </c>
      <c r="E51" s="123"/>
      <c r="F51" s="15">
        <f>SUM(F3:F49)</f>
        <v>32552.809999999994</v>
      </c>
      <c r="H51" s="78">
        <f>SUM(H3:H49)</f>
        <v>50279.525714285715</v>
      </c>
      <c r="J51" s="75">
        <f>D51-H51</f>
        <v>14980.474285714285</v>
      </c>
      <c r="K51" s="3">
        <f>SUM(K3:K44)</f>
        <v>55040</v>
      </c>
    </row>
    <row r="52" spans="1:11" ht="12.75" customHeight="1" x14ac:dyDescent="0.25">
      <c r="A52" s="121"/>
      <c r="B52" s="5"/>
      <c r="C52" s="163"/>
      <c r="D52" s="5"/>
      <c r="E52" s="128"/>
      <c r="G52" s="120"/>
    </row>
    <row r="53" spans="1:11" ht="12.75" customHeight="1" thickBot="1" x14ac:dyDescent="0.3">
      <c r="A53" s="124"/>
      <c r="C53" s="129" t="e">
        <f>SUM(#REF!)</f>
        <v>#REF!</v>
      </c>
    </row>
    <row r="54" spans="1:11" ht="12.75" customHeight="1" x14ac:dyDescent="0.25">
      <c r="C54" s="125"/>
    </row>
  </sheetData>
  <phoneticPr fontId="0" type="noConversion"/>
  <pageMargins left="0.47244094488188981" right="0.11811023622047245" top="0.59055118110236227" bottom="0.15748031496062992" header="0.23622047244094491" footer="0.15748031496062992"/>
  <pageSetup paperSize="9" scale="89" orientation="portrait" horizontalDpi="300" verticalDpi="300" r:id="rId1"/>
  <headerFooter alignWithMargins="0">
    <oddHeader>&amp;L&amp;"Arial,Bold"&amp;11Nov 2023 - Finance Meeting &amp;C&amp;"Arial,Bold"&amp;12Woodhouse Parish Council - Expenditure
 2024/25 Proposed Budget&amp;R&amp;"Arial,Bold"&amp;12Finance 2</oddHeader>
    <oddFooter>&amp;L2024/25 Budget
November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9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ColWidth="9.109375" defaultRowHeight="15" x14ac:dyDescent="0.25"/>
  <cols>
    <col min="1" max="1" width="53.33203125" style="26" customWidth="1"/>
    <col min="2" max="2" width="12.33203125" style="26" bestFit="1" customWidth="1"/>
    <col min="3" max="3" width="13.6640625" style="32" customWidth="1"/>
    <col min="4" max="4" width="14" style="26" bestFit="1" customWidth="1"/>
    <col min="5" max="5" width="13.44140625" style="26" bestFit="1" customWidth="1"/>
    <col min="6" max="6" width="14" style="26" customWidth="1"/>
    <col min="7" max="7" width="13" style="26" customWidth="1"/>
    <col min="8" max="16384" width="9.109375" style="26"/>
  </cols>
  <sheetData>
    <row r="1" spans="1:7" s="25" customFormat="1" ht="46.8" x14ac:dyDescent="0.3">
      <c r="A1" s="24" t="s">
        <v>37</v>
      </c>
      <c r="B1" s="25" t="s">
        <v>128</v>
      </c>
      <c r="C1" s="25" t="s">
        <v>126</v>
      </c>
      <c r="D1" s="162" t="s">
        <v>149</v>
      </c>
      <c r="E1" s="25" t="s">
        <v>138</v>
      </c>
      <c r="F1" s="25" t="s">
        <v>62</v>
      </c>
      <c r="G1" s="25" t="s">
        <v>147</v>
      </c>
    </row>
    <row r="2" spans="1:7" x14ac:dyDescent="0.25">
      <c r="A2" s="26" t="s">
        <v>15</v>
      </c>
      <c r="B2" s="26">
        <v>0</v>
      </c>
      <c r="C2" s="110">
        <v>100</v>
      </c>
      <c r="D2" s="156">
        <v>0</v>
      </c>
      <c r="E2" s="110">
        <v>100</v>
      </c>
      <c r="F2" s="80">
        <f t="shared" ref="F2:F11" si="0">SUM(D2/C2)</f>
        <v>0</v>
      </c>
      <c r="G2" s="110">
        <v>100</v>
      </c>
    </row>
    <row r="3" spans="1:7" x14ac:dyDescent="0.25">
      <c r="A3" s="26" t="s">
        <v>79</v>
      </c>
      <c r="B3" s="26">
        <v>2502.6999999999998</v>
      </c>
      <c r="C3" s="110">
        <f>450+1210</f>
        <v>1660</v>
      </c>
      <c r="D3" s="156">
        <v>1740</v>
      </c>
      <c r="E3" s="110">
        <v>2240</v>
      </c>
      <c r="F3" s="80">
        <f t="shared" si="0"/>
        <v>1.0481927710843373</v>
      </c>
      <c r="G3" s="110">
        <v>2300</v>
      </c>
    </row>
    <row r="4" spans="1:7" x14ac:dyDescent="0.25">
      <c r="A4" s="26" t="s">
        <v>17</v>
      </c>
      <c r="B4" s="26">
        <v>19678.07</v>
      </c>
      <c r="C4" s="110">
        <v>17500</v>
      </c>
      <c r="D4" s="156">
        <v>11986.34</v>
      </c>
      <c r="E4" s="110">
        <f>(D4/7)*12</f>
        <v>20548.01142857143</v>
      </c>
      <c r="F4" s="80">
        <f t="shared" si="0"/>
        <v>0.68493371428571426</v>
      </c>
      <c r="G4" s="110">
        <v>20000</v>
      </c>
    </row>
    <row r="5" spans="1:7" x14ac:dyDescent="0.25">
      <c r="A5" s="26" t="s">
        <v>70</v>
      </c>
      <c r="B5" s="26">
        <v>1831.35</v>
      </c>
      <c r="C5" s="110">
        <v>500</v>
      </c>
      <c r="D5" s="156">
        <v>996.39</v>
      </c>
      <c r="E5" s="110">
        <v>4000</v>
      </c>
      <c r="F5" s="80">
        <f t="shared" si="0"/>
        <v>1.99278</v>
      </c>
      <c r="G5" s="110">
        <v>6000</v>
      </c>
    </row>
    <row r="6" spans="1:7" x14ac:dyDescent="0.25">
      <c r="A6" s="26" t="s">
        <v>71</v>
      </c>
      <c r="B6" s="26">
        <v>15739.38</v>
      </c>
      <c r="C6" s="110">
        <v>17500</v>
      </c>
      <c r="D6" s="156">
        <v>8144.1</v>
      </c>
      <c r="E6" s="110">
        <f>(D6/7)*12</f>
        <v>13961.314285714288</v>
      </c>
      <c r="F6" s="80">
        <f t="shared" si="0"/>
        <v>0.46537714285714288</v>
      </c>
      <c r="G6" s="110">
        <v>14000</v>
      </c>
    </row>
    <row r="7" spans="1:7" x14ac:dyDescent="0.25">
      <c r="A7" s="26" t="s">
        <v>91</v>
      </c>
      <c r="B7" s="26">
        <v>0</v>
      </c>
      <c r="C7" s="110">
        <v>1</v>
      </c>
      <c r="D7" s="156">
        <v>14900</v>
      </c>
      <c r="E7" s="110">
        <v>14900</v>
      </c>
      <c r="F7" s="80">
        <f t="shared" si="0"/>
        <v>14900</v>
      </c>
      <c r="G7" s="110">
        <v>1</v>
      </c>
    </row>
    <row r="8" spans="1:7" x14ac:dyDescent="0.25">
      <c r="A8" s="26" t="s">
        <v>97</v>
      </c>
      <c r="B8" s="26">
        <v>12210</v>
      </c>
      <c r="C8" s="110">
        <v>12360</v>
      </c>
      <c r="D8" s="156">
        <v>4618</v>
      </c>
      <c r="E8" s="110">
        <v>10618</v>
      </c>
      <c r="F8" s="80">
        <f t="shared" si="0"/>
        <v>0.37362459546925564</v>
      </c>
      <c r="G8" s="110">
        <v>14400</v>
      </c>
    </row>
    <row r="9" spans="1:7" x14ac:dyDescent="0.25">
      <c r="A9" s="26" t="s">
        <v>92</v>
      </c>
      <c r="B9" s="26">
        <v>6600</v>
      </c>
      <c r="C9" s="110">
        <v>7200</v>
      </c>
      <c r="D9" s="156">
        <v>4200</v>
      </c>
      <c r="E9" s="110">
        <f>(D9/7)*12</f>
        <v>7200</v>
      </c>
      <c r="F9" s="80">
        <f t="shared" si="0"/>
        <v>0.58333333333333337</v>
      </c>
      <c r="G9" s="110">
        <v>7200</v>
      </c>
    </row>
    <row r="10" spans="1:7" x14ac:dyDescent="0.25">
      <c r="A10" s="26" t="s">
        <v>20</v>
      </c>
      <c r="B10" s="26">
        <v>0</v>
      </c>
      <c r="C10" s="110">
        <v>5000</v>
      </c>
      <c r="D10" s="156">
        <v>0</v>
      </c>
      <c r="E10" s="110">
        <v>5000</v>
      </c>
      <c r="F10" s="80">
        <f t="shared" si="0"/>
        <v>0</v>
      </c>
      <c r="G10" s="110">
        <v>5000</v>
      </c>
    </row>
    <row r="11" spans="1:7" ht="17.25" customHeight="1" x14ac:dyDescent="0.25">
      <c r="A11" s="27" t="s">
        <v>135</v>
      </c>
      <c r="B11" s="26">
        <v>90</v>
      </c>
      <c r="C11" s="110">
        <v>1</v>
      </c>
      <c r="D11" s="156">
        <v>0</v>
      </c>
      <c r="E11" s="110">
        <v>0</v>
      </c>
      <c r="F11" s="80">
        <f t="shared" si="0"/>
        <v>0</v>
      </c>
      <c r="G11" s="110">
        <v>1</v>
      </c>
    </row>
    <row r="12" spans="1:7" x14ac:dyDescent="0.25">
      <c r="A12" s="26" t="s">
        <v>18</v>
      </c>
      <c r="B12" s="26">
        <v>0</v>
      </c>
      <c r="C12" s="110">
        <v>0</v>
      </c>
      <c r="D12" s="156">
        <v>0</v>
      </c>
      <c r="E12" s="110">
        <f t="shared" ref="E12" si="1">SUM(D12/6)*12</f>
        <v>0</v>
      </c>
      <c r="F12" s="80">
        <v>0</v>
      </c>
      <c r="G12" s="110">
        <v>0</v>
      </c>
    </row>
    <row r="13" spans="1:7" x14ac:dyDescent="0.25">
      <c r="A13" s="26" t="s">
        <v>153</v>
      </c>
      <c r="B13" s="26">
        <v>5720</v>
      </c>
      <c r="C13" s="110">
        <v>1</v>
      </c>
      <c r="D13" s="156">
        <v>380</v>
      </c>
      <c r="E13" s="110">
        <v>380</v>
      </c>
      <c r="F13" s="80">
        <f>SUM(D13/C13)</f>
        <v>380</v>
      </c>
      <c r="G13" s="110">
        <v>1</v>
      </c>
    </row>
    <row r="14" spans="1:7" x14ac:dyDescent="0.25">
      <c r="A14" s="26" t="s">
        <v>144</v>
      </c>
      <c r="B14" s="26">
        <v>253285.2</v>
      </c>
      <c r="C14" s="110">
        <v>0</v>
      </c>
      <c r="D14" s="156">
        <f>107000</f>
        <v>107000</v>
      </c>
      <c r="E14" s="110">
        <v>107000</v>
      </c>
      <c r="F14" s="80"/>
      <c r="G14" s="161"/>
    </row>
    <row r="15" spans="1:7" x14ac:dyDescent="0.25">
      <c r="A15" s="27"/>
      <c r="C15" s="110"/>
      <c r="D15" s="156"/>
      <c r="F15" s="80"/>
    </row>
    <row r="16" spans="1:7" x14ac:dyDescent="0.25">
      <c r="A16" s="27"/>
      <c r="C16" s="110"/>
      <c r="D16" s="12"/>
      <c r="F16" s="80"/>
    </row>
    <row r="17" spans="1:7" s="28" customFormat="1" ht="15.6" x14ac:dyDescent="0.3">
      <c r="A17" s="28" t="s">
        <v>38</v>
      </c>
      <c r="B17" s="28">
        <f>SUM(B2:B15)</f>
        <v>317656.7</v>
      </c>
      <c r="C17" s="111">
        <f>SUM(C2:C14)</f>
        <v>61823</v>
      </c>
      <c r="D17" s="28">
        <f>SUM(D2:D15)</f>
        <v>153964.83000000002</v>
      </c>
      <c r="E17" s="111">
        <f>SUM(E2:E15)</f>
        <v>185947.32571428572</v>
      </c>
      <c r="F17" s="126">
        <f>SUM(D17/C17)</f>
        <v>2.4904134383643632</v>
      </c>
      <c r="G17" s="111">
        <f>SUM(G2:G14)</f>
        <v>69003</v>
      </c>
    </row>
    <row r="18" spans="1:7" s="28" customFormat="1" ht="15.6" x14ac:dyDescent="0.3">
      <c r="C18" s="111"/>
      <c r="E18" s="111"/>
      <c r="F18" s="126"/>
    </row>
    <row r="19" spans="1:7" ht="15.6" x14ac:dyDescent="0.3">
      <c r="A19" s="28" t="s">
        <v>118</v>
      </c>
      <c r="B19" s="28"/>
      <c r="C19" s="161"/>
      <c r="E19" s="110"/>
      <c r="F19" s="126"/>
    </row>
    <row r="20" spans="1:7" ht="15.6" x14ac:dyDescent="0.3">
      <c r="A20" s="28" t="s">
        <v>119</v>
      </c>
      <c r="B20" s="28"/>
      <c r="C20" s="164">
        <v>90000</v>
      </c>
      <c r="E20" s="110"/>
      <c r="F20" s="126"/>
    </row>
    <row r="21" spans="1:7" s="28" customFormat="1" ht="15.6" x14ac:dyDescent="0.3">
      <c r="E21" s="111"/>
      <c r="F21" s="126"/>
    </row>
    <row r="22" spans="1:7" ht="15.6" x14ac:dyDescent="0.3">
      <c r="A22" s="28" t="s">
        <v>21</v>
      </c>
      <c r="B22" s="28">
        <f>B17</f>
        <v>317656.7</v>
      </c>
      <c r="C22" s="110">
        <f>SUM(C17:C21)</f>
        <v>151823</v>
      </c>
      <c r="D22" s="26">
        <f t="shared" ref="D22" si="2">D17</f>
        <v>153964.83000000002</v>
      </c>
      <c r="E22" s="26">
        <f>SUM(E17:E20)</f>
        <v>185947.32571428572</v>
      </c>
      <c r="F22" s="126">
        <f>SUM(D22/C22)</f>
        <v>1.014107414555107</v>
      </c>
      <c r="G22" s="110">
        <f>SUM(G17:G21)</f>
        <v>69003</v>
      </c>
    </row>
    <row r="23" spans="1:7" ht="15.6" x14ac:dyDescent="0.3">
      <c r="A23" s="28"/>
      <c r="C23" s="110"/>
      <c r="E23" s="110"/>
    </row>
    <row r="24" spans="1:7" x14ac:dyDescent="0.25">
      <c r="C24" s="110"/>
      <c r="E24" s="110"/>
    </row>
    <row r="25" spans="1:7" x14ac:dyDescent="0.25">
      <c r="A25" s="26" t="s">
        <v>72</v>
      </c>
      <c r="B25" s="26">
        <v>3000</v>
      </c>
      <c r="C25" s="110"/>
      <c r="D25" s="26">
        <f>83833.48-30000</f>
        <v>53833.479999999996</v>
      </c>
      <c r="E25" s="110">
        <v>53833.48</v>
      </c>
    </row>
    <row r="26" spans="1:7" x14ac:dyDescent="0.25">
      <c r="C26" s="110"/>
      <c r="E26" s="110"/>
    </row>
    <row r="27" spans="1:7" x14ac:dyDescent="0.25">
      <c r="C27" s="110"/>
    </row>
    <row r="28" spans="1:7" x14ac:dyDescent="0.25">
      <c r="A28" s="26" t="s">
        <v>42</v>
      </c>
      <c r="B28" s="26">
        <v>68.88</v>
      </c>
      <c r="C28" s="110"/>
      <c r="D28" s="26">
        <v>10217.91</v>
      </c>
      <c r="E28" s="26">
        <v>10217.91</v>
      </c>
    </row>
    <row r="29" spans="1:7" x14ac:dyDescent="0.25">
      <c r="A29" s="26" t="s">
        <v>139</v>
      </c>
      <c r="B29" s="26">
        <v>12338.17</v>
      </c>
      <c r="C29" s="110"/>
      <c r="D29" s="26">
        <v>125727.26</v>
      </c>
      <c r="E29" s="26">
        <v>125727.26</v>
      </c>
    </row>
    <row r="30" spans="1:7" ht="15.6" x14ac:dyDescent="0.3">
      <c r="A30" s="28" t="s">
        <v>22</v>
      </c>
      <c r="B30" s="26">
        <f>SUM(B22:B29)</f>
        <v>333063.75</v>
      </c>
      <c r="C30" s="110"/>
      <c r="D30" s="26">
        <f>SUM(D22:D29)</f>
        <v>343743.48</v>
      </c>
      <c r="E30" s="26">
        <f>SUM(E22:E29)</f>
        <v>375725.97571428574</v>
      </c>
    </row>
    <row r="31" spans="1:7" x14ac:dyDescent="0.25">
      <c r="A31" s="26" t="s">
        <v>28</v>
      </c>
      <c r="B31" s="26">
        <v>207336.49</v>
      </c>
      <c r="C31" s="110"/>
      <c r="D31" s="26">
        <v>319461.44</v>
      </c>
      <c r="E31" s="26">
        <v>358447</v>
      </c>
    </row>
    <row r="32" spans="1:7" ht="15.6" x14ac:dyDescent="0.3">
      <c r="A32" s="88" t="s">
        <v>23</v>
      </c>
      <c r="B32" s="73">
        <f>SUM(B30-B31)</f>
        <v>125727.26000000001</v>
      </c>
      <c r="D32" s="26">
        <f>D30-D31</f>
        <v>24282.039999999979</v>
      </c>
      <c r="E32" s="104">
        <f>SUM(E30-E31)</f>
        <v>17278.975714285742</v>
      </c>
    </row>
    <row r="34" spans="1:5" x14ac:dyDescent="0.25">
      <c r="E34" s="142"/>
    </row>
    <row r="38" spans="1:5" x14ac:dyDescent="0.25">
      <c r="A38" s="29"/>
    </row>
    <row r="39" spans="1:5" x14ac:dyDescent="0.25">
      <c r="A39" s="29"/>
    </row>
  </sheetData>
  <phoneticPr fontId="0" type="noConversion"/>
  <printOptions horizontalCentered="1" gridLines="1"/>
  <pageMargins left="0.74803149606299213" right="0.74803149606299213" top="0.98425196850393704" bottom="1.2204724409448819" header="0.51181102362204722" footer="0.51181102362204722"/>
  <pageSetup paperSize="9" scale="65" fitToHeight="0" orientation="portrait" horizontalDpi="300" verticalDpi="300" r:id="rId1"/>
  <headerFooter alignWithMargins="0">
    <oddHeader>&amp;L&amp;"Arial,Bold"&amp;11Nov 2023 - Finance Meeting &amp;C&amp;"Arial,Bold"&amp;11KING GEORGES FIELD CHARITY - INCOME  
2024/25 Proposed Budget&amp;R&amp;"Arial,Bold"&amp;14Finance 3</oddHeader>
    <oddFooter>&amp;L2024/25 Budget
November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workbookViewId="0">
      <selection activeCell="E24" sqref="E24"/>
    </sheetView>
  </sheetViews>
  <sheetFormatPr defaultColWidth="9.109375" defaultRowHeight="13.2" x14ac:dyDescent="0.25"/>
  <cols>
    <col min="1" max="1" width="47.33203125" style="3" customWidth="1"/>
    <col min="2" max="2" width="11.21875" style="3" bestFit="1" customWidth="1"/>
    <col min="3" max="3" width="9.5546875" style="31" bestFit="1" customWidth="1"/>
    <col min="4" max="4" width="10" style="3" bestFit="1" customWidth="1"/>
    <col min="5" max="5" width="10.33203125" style="3" customWidth="1"/>
    <col min="6" max="6" width="10" style="3" customWidth="1"/>
    <col min="7" max="7" width="9.5546875" style="3" customWidth="1"/>
    <col min="8" max="8" width="11.21875" style="3" bestFit="1" customWidth="1"/>
    <col min="9" max="16384" width="9.109375" style="3"/>
  </cols>
  <sheetData>
    <row r="1" spans="1:8" s="2" customFormat="1" ht="52.8" x14ac:dyDescent="0.25">
      <c r="A1" s="2" t="s">
        <v>14</v>
      </c>
      <c r="B1" s="2" t="s">
        <v>128</v>
      </c>
      <c r="C1" s="2" t="s">
        <v>126</v>
      </c>
      <c r="D1" s="165" t="s">
        <v>149</v>
      </c>
      <c r="E1" s="2" t="s">
        <v>138</v>
      </c>
      <c r="F1" s="2" t="s">
        <v>62</v>
      </c>
      <c r="G1" s="2" t="s">
        <v>147</v>
      </c>
    </row>
    <row r="2" spans="1:8" s="18" customFormat="1" x14ac:dyDescent="0.25">
      <c r="A2" s="2"/>
      <c r="D2" s="4"/>
      <c r="E2" s="56"/>
    </row>
    <row r="3" spans="1:8" x14ac:dyDescent="0.25">
      <c r="A3" s="3" t="s">
        <v>16</v>
      </c>
      <c r="B3" s="11">
        <v>490</v>
      </c>
      <c r="C3" s="3">
        <v>600</v>
      </c>
      <c r="D3" s="4">
        <v>0</v>
      </c>
      <c r="E3" s="68">
        <v>520</v>
      </c>
      <c r="F3" s="47">
        <f t="shared" ref="F3:F9" si="0">SUM(D3/C3)</f>
        <v>0</v>
      </c>
      <c r="G3" s="3">
        <v>660</v>
      </c>
    </row>
    <row r="4" spans="1:8" x14ac:dyDescent="0.25">
      <c r="A4" s="3" t="s">
        <v>18</v>
      </c>
      <c r="B4" s="11">
        <v>2196.4</v>
      </c>
      <c r="C4" s="3">
        <v>500</v>
      </c>
      <c r="D4" s="4">
        <v>2004.35</v>
      </c>
      <c r="E4" s="68">
        <v>2005</v>
      </c>
      <c r="F4" s="47">
        <f t="shared" si="0"/>
        <v>4.0087000000000002</v>
      </c>
      <c r="G4" s="3">
        <v>1500</v>
      </c>
    </row>
    <row r="5" spans="1:8" x14ac:dyDescent="0.25">
      <c r="A5" s="3" t="s">
        <v>19</v>
      </c>
      <c r="B5" s="11">
        <v>85620</v>
      </c>
      <c r="C5" s="3">
        <v>93154</v>
      </c>
      <c r="D5" s="4">
        <v>93154</v>
      </c>
      <c r="E5" s="68">
        <v>93154</v>
      </c>
      <c r="F5" s="47">
        <f t="shared" si="0"/>
        <v>1</v>
      </c>
      <c r="G5" s="68">
        <f>E5*1.05</f>
        <v>97811.7</v>
      </c>
      <c r="H5" s="3" t="s">
        <v>155</v>
      </c>
    </row>
    <row r="6" spans="1:8" x14ac:dyDescent="0.25">
      <c r="A6" s="3" t="s">
        <v>114</v>
      </c>
      <c r="B6" s="11">
        <v>260.2</v>
      </c>
      <c r="C6" s="3">
        <v>1</v>
      </c>
      <c r="D6" s="4">
        <v>0</v>
      </c>
      <c r="E6" s="68">
        <v>0</v>
      </c>
      <c r="F6" s="47">
        <f t="shared" si="0"/>
        <v>0</v>
      </c>
      <c r="G6" s="3">
        <v>1</v>
      </c>
    </row>
    <row r="7" spans="1:8" x14ac:dyDescent="0.25">
      <c r="A7" s="3" t="s">
        <v>136</v>
      </c>
      <c r="B7" s="11">
        <v>1801</v>
      </c>
      <c r="C7" s="3">
        <v>1</v>
      </c>
      <c r="D7" s="4">
        <v>0</v>
      </c>
      <c r="E7" s="68">
        <v>0</v>
      </c>
      <c r="F7" s="47">
        <f t="shared" si="0"/>
        <v>0</v>
      </c>
      <c r="G7" s="3">
        <v>1</v>
      </c>
    </row>
    <row r="8" spans="1:8" x14ac:dyDescent="0.25">
      <c r="A8" s="3" t="s">
        <v>20</v>
      </c>
      <c r="B8" s="11">
        <v>0</v>
      </c>
      <c r="C8" s="3">
        <v>3000</v>
      </c>
      <c r="D8" s="4">
        <v>0</v>
      </c>
      <c r="E8" s="68">
        <v>2000</v>
      </c>
      <c r="F8" s="47">
        <f t="shared" si="0"/>
        <v>0</v>
      </c>
      <c r="G8" s="3">
        <v>2500</v>
      </c>
    </row>
    <row r="9" spans="1:8" x14ac:dyDescent="0.25">
      <c r="A9" s="3" t="s">
        <v>43</v>
      </c>
      <c r="B9" s="23">
        <v>1000</v>
      </c>
      <c r="C9" s="3">
        <v>1640</v>
      </c>
      <c r="D9" s="4">
        <v>0</v>
      </c>
      <c r="E9" s="68">
        <v>1000</v>
      </c>
      <c r="F9" s="47">
        <f t="shared" si="0"/>
        <v>0</v>
      </c>
      <c r="G9" s="3">
        <v>1000</v>
      </c>
    </row>
    <row r="10" spans="1:8" x14ac:dyDescent="0.25">
      <c r="A10" s="3" t="s">
        <v>154</v>
      </c>
      <c r="B10" s="11">
        <v>103.23</v>
      </c>
      <c r="C10" s="3">
        <v>1</v>
      </c>
      <c r="D10" s="4">
        <v>283.41000000000003</v>
      </c>
      <c r="E10" s="68">
        <v>283</v>
      </c>
      <c r="F10" s="47">
        <v>0</v>
      </c>
      <c r="G10" s="3">
        <v>1</v>
      </c>
    </row>
    <row r="11" spans="1:8" x14ac:dyDescent="0.25">
      <c r="A11" s="3" t="s">
        <v>113</v>
      </c>
      <c r="B11" s="11">
        <v>933.31</v>
      </c>
      <c r="C11" s="3">
        <v>500</v>
      </c>
      <c r="D11" s="4">
        <v>210.16</v>
      </c>
      <c r="E11" s="68">
        <v>500</v>
      </c>
      <c r="F11" s="47">
        <f>SUM(D11/C11)</f>
        <v>0.42031999999999997</v>
      </c>
      <c r="G11" s="3">
        <v>500</v>
      </c>
    </row>
    <row r="12" spans="1:8" x14ac:dyDescent="0.25">
      <c r="A12" s="3" t="s">
        <v>115</v>
      </c>
      <c r="B12" s="11">
        <v>1622.06</v>
      </c>
      <c r="C12" s="3">
        <v>0</v>
      </c>
      <c r="D12" s="11">
        <v>0</v>
      </c>
      <c r="E12" s="68">
        <v>0</v>
      </c>
      <c r="F12" s="47">
        <v>0</v>
      </c>
    </row>
    <row r="13" spans="1:8" x14ac:dyDescent="0.25">
      <c r="B13" s="11"/>
      <c r="C13" s="3"/>
      <c r="D13" s="11"/>
      <c r="E13" s="11"/>
      <c r="F13" s="47"/>
    </row>
    <row r="14" spans="1:8" x14ac:dyDescent="0.25">
      <c r="B14" s="11"/>
      <c r="C14" s="3"/>
      <c r="D14" s="11"/>
      <c r="E14" s="11"/>
      <c r="F14" s="47"/>
    </row>
    <row r="15" spans="1:8" s="1" customFormat="1" x14ac:dyDescent="0.25">
      <c r="A15" s="1" t="s">
        <v>34</v>
      </c>
      <c r="B15" s="57">
        <f>SUM(B2:B12)</f>
        <v>94026.199999999983</v>
      </c>
      <c r="C15" s="1">
        <f>SUM(C3:C12)</f>
        <v>99397</v>
      </c>
      <c r="D15" s="57">
        <f>SUM(D2:D12)</f>
        <v>95651.920000000013</v>
      </c>
      <c r="E15" s="78">
        <f>SUM(E2:E12)</f>
        <v>99462</v>
      </c>
      <c r="F15" s="127">
        <f>SUM(D15/C15)</f>
        <v>0.96232200167007065</v>
      </c>
      <c r="G15" s="78">
        <f>SUM(G3:G12)</f>
        <v>103974.7</v>
      </c>
    </row>
    <row r="16" spans="1:8" s="1" customFormat="1" x14ac:dyDescent="0.25">
      <c r="E16" s="57"/>
    </row>
    <row r="17" spans="1:5" x14ac:dyDescent="0.25">
      <c r="E17" s="11"/>
    </row>
    <row r="18" spans="1:5" x14ac:dyDescent="0.25">
      <c r="A18" s="3" t="s">
        <v>24</v>
      </c>
      <c r="B18" s="11">
        <v>20</v>
      </c>
      <c r="D18" s="3">
        <v>7707.6</v>
      </c>
      <c r="E18" s="11">
        <v>7707.6</v>
      </c>
    </row>
    <row r="19" spans="1:5" x14ac:dyDescent="0.25">
      <c r="A19" s="3" t="s">
        <v>140</v>
      </c>
      <c r="B19" s="105">
        <v>82310.64</v>
      </c>
      <c r="D19" s="11">
        <v>101189.96</v>
      </c>
      <c r="E19" s="11">
        <v>101189.96</v>
      </c>
    </row>
    <row r="20" spans="1:5" ht="18" customHeight="1" x14ac:dyDescent="0.25">
      <c r="A20" s="1" t="s">
        <v>22</v>
      </c>
      <c r="B20" s="11">
        <f>SUM(B15:B19)</f>
        <v>176356.83999999997</v>
      </c>
      <c r="D20" s="3">
        <f>SUM(D15:D19)</f>
        <v>204549.48000000004</v>
      </c>
      <c r="E20" s="11">
        <f>SUM(E15:E19)</f>
        <v>208359.56</v>
      </c>
    </row>
    <row r="21" spans="1:5" x14ac:dyDescent="0.25">
      <c r="A21" s="3" t="s">
        <v>30</v>
      </c>
      <c r="B21" s="3">
        <v>72166.880000000005</v>
      </c>
      <c r="D21" s="3">
        <v>32552.81</v>
      </c>
      <c r="E21" s="11">
        <v>50280</v>
      </c>
    </row>
    <row r="22" spans="1:5" x14ac:dyDescent="0.25">
      <c r="A22" s="3" t="s">
        <v>23</v>
      </c>
      <c r="B22" s="11">
        <f>SUM(B20-B21)</f>
        <v>104189.95999999996</v>
      </c>
      <c r="D22" s="3">
        <f>SUM(D20-D21)</f>
        <v>171996.67000000004</v>
      </c>
      <c r="E22" s="11">
        <f>SUM(E20-E21)</f>
        <v>158079.56</v>
      </c>
    </row>
    <row r="23" spans="1:5" x14ac:dyDescent="0.25">
      <c r="A23" s="3" t="s">
        <v>80</v>
      </c>
      <c r="B23" s="3">
        <v>3000</v>
      </c>
      <c r="D23" s="30">
        <v>53833.48</v>
      </c>
      <c r="E23" s="3">
        <v>53833.48</v>
      </c>
    </row>
    <row r="24" spans="1:5" x14ac:dyDescent="0.25">
      <c r="A24" s="87" t="s">
        <v>81</v>
      </c>
      <c r="B24" s="11">
        <f>SUM(B22-B23)</f>
        <v>101189.95999999996</v>
      </c>
      <c r="D24" s="3">
        <f>SUM(D22-D23)</f>
        <v>118163.19000000003</v>
      </c>
      <c r="E24" s="11">
        <f>SUM(E22-E23)</f>
        <v>104246.07999999999</v>
      </c>
    </row>
    <row r="25" spans="1:5" x14ac:dyDescent="0.25">
      <c r="A25" s="87"/>
      <c r="B25" s="11"/>
      <c r="E25" s="11"/>
    </row>
    <row r="26" spans="1:5" x14ac:dyDescent="0.25">
      <c r="A26" s="87"/>
      <c r="B26" s="11"/>
      <c r="E26" s="11"/>
    </row>
    <row r="27" spans="1:5" x14ac:dyDescent="0.25">
      <c r="A27" s="1"/>
    </row>
    <row r="30" spans="1:5" x14ac:dyDescent="0.25">
      <c r="A30" s="8"/>
    </row>
    <row r="31" spans="1:5" ht="0.75" customHeight="1" x14ac:dyDescent="0.25">
      <c r="A31" s="8"/>
    </row>
  </sheetData>
  <pageMargins left="1.1811023622047245" right="0.70866141732283472" top="1.1811023622047245" bottom="0.74803149606299213" header="0.55118110236220474" footer="0.31496062992125984"/>
  <pageSetup paperSize="9" scale="76" fitToHeight="0" orientation="portrait" r:id="rId1"/>
  <headerFooter>
    <oddHeader>&amp;L&amp;"Arial,Bold"Nov 2023
&amp;9Finance Meeting&amp;C&amp;"Arial,Bold"&amp;12WOODHOUSE PARISH COUNCIL - INCOME
2024/25 Proposed Budget&amp;R&amp;"Arial,Bold"&amp;12Finance 4</oddHeader>
    <oddFooter>&amp;L&amp;9 2024/25 Budget
November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workbookViewId="0"/>
  </sheetViews>
  <sheetFormatPr defaultColWidth="9.109375" defaultRowHeight="13.2" x14ac:dyDescent="0.25"/>
  <cols>
    <col min="1" max="1" width="33.109375" style="7" customWidth="1"/>
    <col min="2" max="3" width="11.33203125" style="22" bestFit="1" customWidth="1"/>
    <col min="4" max="4" width="19.109375" style="22" customWidth="1"/>
    <col min="5" max="6" width="11.33203125" style="22" customWidth="1"/>
    <col min="7" max="7" width="15.6640625" style="7" bestFit="1" customWidth="1"/>
    <col min="8" max="8" width="18.6640625" style="7" bestFit="1" customWidth="1"/>
    <col min="9" max="16384" width="9.109375" style="7"/>
  </cols>
  <sheetData>
    <row r="1" spans="1:8" ht="46.5" customHeight="1" x14ac:dyDescent="0.25">
      <c r="A1" s="1"/>
      <c r="B1" s="19" t="s">
        <v>141</v>
      </c>
      <c r="C1" s="19" t="s">
        <v>127</v>
      </c>
      <c r="D1" s="19" t="s">
        <v>150</v>
      </c>
      <c r="E1" s="19" t="s">
        <v>142</v>
      </c>
      <c r="F1" s="19" t="s">
        <v>61</v>
      </c>
      <c r="G1" s="172" t="s">
        <v>147</v>
      </c>
    </row>
    <row r="2" spans="1:8" x14ac:dyDescent="0.25">
      <c r="A2" s="1" t="s">
        <v>56</v>
      </c>
      <c r="B2" s="81">
        <v>317656</v>
      </c>
      <c r="C2" s="81">
        <v>61823</v>
      </c>
      <c r="D2" s="81">
        <v>153965</v>
      </c>
      <c r="E2" s="81">
        <v>185947</v>
      </c>
      <c r="F2" s="85">
        <f>SUM(E2/C2)</f>
        <v>3.0077317503194605</v>
      </c>
      <c r="G2" s="68">
        <v>69003</v>
      </c>
    </row>
    <row r="3" spans="1:8" s="5" customFormat="1" x14ac:dyDescent="0.25">
      <c r="A3" s="1" t="s">
        <v>57</v>
      </c>
      <c r="B3" s="81">
        <v>94026</v>
      </c>
      <c r="C3" s="81">
        <v>99397</v>
      </c>
      <c r="D3" s="81">
        <v>95652</v>
      </c>
      <c r="E3" s="81">
        <v>99462</v>
      </c>
      <c r="F3" s="85">
        <f t="shared" ref="F3:F4" si="0">SUM(E3/C3)</f>
        <v>1.0006539432779662</v>
      </c>
      <c r="G3" s="68">
        <v>103975</v>
      </c>
      <c r="H3" s="7"/>
    </row>
    <row r="4" spans="1:8" x14ac:dyDescent="0.25">
      <c r="A4" s="1" t="s">
        <v>39</v>
      </c>
      <c r="B4" s="78">
        <f>SUM(B2+B3)</f>
        <v>411682</v>
      </c>
      <c r="C4" s="78">
        <f>SUM(C2:C3)</f>
        <v>161220</v>
      </c>
      <c r="D4" s="78">
        <f>SUM(D2:D3)</f>
        <v>249617</v>
      </c>
      <c r="E4" s="78">
        <f>SUM(E2:E3)</f>
        <v>285409</v>
      </c>
      <c r="F4" s="85">
        <f t="shared" si="0"/>
        <v>1.7703076541372038</v>
      </c>
      <c r="G4" s="78">
        <f>SUM(G2:G3)</f>
        <v>172978</v>
      </c>
    </row>
    <row r="5" spans="1:8" x14ac:dyDescent="0.25">
      <c r="A5" s="3"/>
      <c r="B5" s="81"/>
      <c r="C5" s="81"/>
      <c r="D5" s="81"/>
      <c r="E5" s="81"/>
      <c r="F5" s="85"/>
      <c r="G5" s="68"/>
    </row>
    <row r="6" spans="1:8" x14ac:dyDescent="0.25">
      <c r="A6" s="3"/>
      <c r="B6" s="81"/>
      <c r="C6" s="81"/>
      <c r="D6" s="81"/>
      <c r="E6" s="81"/>
      <c r="F6" s="85"/>
      <c r="G6" s="68"/>
    </row>
    <row r="7" spans="1:8" x14ac:dyDescent="0.25">
      <c r="A7" s="3" t="s">
        <v>24</v>
      </c>
      <c r="B7" s="81">
        <f>SUM('Income Council'!B18+'Income Charity'!B28)</f>
        <v>88.88</v>
      </c>
      <c r="C7" s="81">
        <v>17925</v>
      </c>
      <c r="D7" s="81">
        <v>17925</v>
      </c>
      <c r="E7" s="81">
        <v>17925</v>
      </c>
      <c r="F7" s="85"/>
      <c r="G7" s="68"/>
    </row>
    <row r="8" spans="1:8" x14ac:dyDescent="0.25">
      <c r="A8" s="3" t="s">
        <v>40</v>
      </c>
      <c r="B8" s="81">
        <f>SUM('Income Council'!B19+'Income Charity'!B29)</f>
        <v>94648.81</v>
      </c>
      <c r="C8" s="81">
        <f>B13</f>
        <v>226916.69</v>
      </c>
      <c r="D8" s="81">
        <f>SUM('Income Charity'!D29+'Income Council'!D19)</f>
        <v>226917.22</v>
      </c>
      <c r="E8" s="81">
        <f>SUM('Income Charity'!E29+'Income Council'!E19)</f>
        <v>226917.22</v>
      </c>
      <c r="F8" s="85"/>
      <c r="G8" s="68">
        <f>E13</f>
        <v>121524.21999999997</v>
      </c>
    </row>
    <row r="9" spans="1:8" x14ac:dyDescent="0.25">
      <c r="A9" s="1" t="s">
        <v>22</v>
      </c>
      <c r="B9" s="82">
        <f>SUM(B4:B8)</f>
        <v>506419.69</v>
      </c>
      <c r="C9" s="82">
        <f>SUM(C4:C8)</f>
        <v>406061.69</v>
      </c>
      <c r="D9" s="82">
        <f>SUM(D4:D8)</f>
        <v>494459.22</v>
      </c>
      <c r="E9" s="82">
        <f>SUM(E4:E8)</f>
        <v>530251.22</v>
      </c>
      <c r="F9" s="85"/>
      <c r="G9" s="78">
        <f>SUM(G4:G8)</f>
        <v>294502.21999999997</v>
      </c>
    </row>
    <row r="10" spans="1:8" x14ac:dyDescent="0.25">
      <c r="A10" s="3" t="s">
        <v>54</v>
      </c>
      <c r="B10" s="81">
        <v>207336</v>
      </c>
      <c r="C10" s="81">
        <v>394785</v>
      </c>
      <c r="D10" s="81">
        <v>319461</v>
      </c>
      <c r="E10" s="81">
        <v>358447</v>
      </c>
      <c r="F10" s="85">
        <f>SUM(E10/C10)</f>
        <v>0.90795496282786836</v>
      </c>
      <c r="G10" s="68">
        <v>187241</v>
      </c>
    </row>
    <row r="11" spans="1:8" x14ac:dyDescent="0.25">
      <c r="A11" s="3" t="s">
        <v>55</v>
      </c>
      <c r="B11" s="81">
        <v>72167</v>
      </c>
      <c r="C11" s="81">
        <v>65260</v>
      </c>
      <c r="D11" s="81">
        <v>32553</v>
      </c>
      <c r="E11" s="81">
        <v>50280</v>
      </c>
      <c r="F11" s="85">
        <f t="shared" ref="F11:F12" si="1">SUM(E11/C11)</f>
        <v>0.77045663499846762</v>
      </c>
      <c r="G11" s="68">
        <v>55040</v>
      </c>
    </row>
    <row r="12" spans="1:8" x14ac:dyDescent="0.25">
      <c r="A12" s="1" t="s">
        <v>29</v>
      </c>
      <c r="B12" s="82">
        <f>SUM(B10+B11)</f>
        <v>279503</v>
      </c>
      <c r="C12" s="82">
        <f>SUM(C10:C11)</f>
        <v>460045</v>
      </c>
      <c r="D12" s="82">
        <f>SUM(D10:D11)</f>
        <v>352014</v>
      </c>
      <c r="E12" s="82">
        <f>SUM(E10:E11)</f>
        <v>408727</v>
      </c>
      <c r="F12" s="85">
        <f t="shared" si="1"/>
        <v>0.88845004293058283</v>
      </c>
      <c r="G12" s="78">
        <f>SUM(G10:G11)</f>
        <v>242281</v>
      </c>
    </row>
    <row r="13" spans="1:8" x14ac:dyDescent="0.25">
      <c r="A13" s="3" t="s">
        <v>23</v>
      </c>
      <c r="B13" s="90">
        <f>SUM(B9-B12)</f>
        <v>226916.69</v>
      </c>
      <c r="C13" s="81">
        <f>SUM(C9-C12)</f>
        <v>-53983.31</v>
      </c>
      <c r="D13" s="84">
        <f>SUM(D9-D12)</f>
        <v>142445.21999999997</v>
      </c>
      <c r="E13" s="83">
        <f>SUM(E9-E12)</f>
        <v>121524.21999999997</v>
      </c>
      <c r="F13" s="85"/>
      <c r="G13" s="68">
        <f>SUM(G9-G12)</f>
        <v>52221.219999999972</v>
      </c>
    </row>
    <row r="14" spans="1:8" x14ac:dyDescent="0.25">
      <c r="A14" s="3"/>
      <c r="B14" s="6"/>
      <c r="C14" s="6"/>
      <c r="D14" s="6"/>
      <c r="E14" s="6"/>
      <c r="F14" s="6"/>
      <c r="G14" s="30"/>
    </row>
    <row r="15" spans="1:8" x14ac:dyDescent="0.25">
      <c r="A15" s="72" t="s">
        <v>48</v>
      </c>
      <c r="B15" s="21"/>
      <c r="C15" s="20"/>
      <c r="D15" s="21"/>
      <c r="E15" s="21"/>
      <c r="F15" s="21"/>
      <c r="G15" s="30"/>
    </row>
    <row r="16" spans="1:8" x14ac:dyDescent="0.25">
      <c r="A16" s="70"/>
      <c r="B16" s="8"/>
      <c r="C16" s="8"/>
      <c r="D16" s="8"/>
      <c r="E16" s="8"/>
      <c r="F16" s="8"/>
      <c r="G16" s="30"/>
    </row>
    <row r="17" spans="1:7" x14ac:dyDescent="0.25">
      <c r="A17" s="71" t="s">
        <v>159</v>
      </c>
      <c r="B17" s="21"/>
      <c r="C17" s="8"/>
      <c r="D17" s="21"/>
      <c r="E17" s="21"/>
      <c r="F17" s="21"/>
      <c r="G17" s="30"/>
    </row>
    <row r="18" spans="1:7" x14ac:dyDescent="0.25">
      <c r="A18" s="3" t="s">
        <v>160</v>
      </c>
      <c r="B18" s="8"/>
      <c r="C18" s="8"/>
      <c r="D18" s="8"/>
      <c r="E18" s="8"/>
      <c r="F18" s="8"/>
      <c r="G18" s="3"/>
    </row>
    <row r="19" spans="1:7" x14ac:dyDescent="0.25">
      <c r="A19" s="173" t="s">
        <v>164</v>
      </c>
      <c r="B19" s="6"/>
      <c r="C19" s="6"/>
      <c r="D19" s="6"/>
      <c r="E19" s="6"/>
      <c r="F19" s="6"/>
      <c r="G19" s="3"/>
    </row>
    <row r="20" spans="1:7" x14ac:dyDescent="0.25">
      <c r="A20" s="3" t="s">
        <v>145</v>
      </c>
      <c r="B20" s="6"/>
      <c r="C20" s="6"/>
      <c r="D20" s="6"/>
      <c r="E20" s="6"/>
      <c r="F20" s="6"/>
      <c r="G20" s="3"/>
    </row>
    <row r="21" spans="1:7" x14ac:dyDescent="0.25">
      <c r="A21" s="3" t="s">
        <v>177</v>
      </c>
      <c r="B21" s="6"/>
      <c r="C21" s="6"/>
      <c r="D21" s="6"/>
      <c r="E21" s="6"/>
      <c r="F21" s="6"/>
      <c r="G21" s="3"/>
    </row>
    <row r="22" spans="1:7" x14ac:dyDescent="0.25">
      <c r="A22" s="5"/>
      <c r="B22" s="91"/>
      <c r="C22" s="91"/>
      <c r="D22" s="91"/>
      <c r="E22" s="91"/>
      <c r="F22" s="91"/>
    </row>
    <row r="23" spans="1:7" x14ac:dyDescent="0.25">
      <c r="A23" s="5"/>
      <c r="B23" s="91"/>
      <c r="C23" s="91"/>
      <c r="D23" s="91"/>
      <c r="E23" s="91"/>
      <c r="F23" s="91"/>
    </row>
    <row r="25" spans="1:7" ht="24.75" customHeight="1" x14ac:dyDescent="0.25">
      <c r="A25" s="151" t="s">
        <v>117</v>
      </c>
      <c r="B25" s="130">
        <f>B32+E28</f>
        <v>25000</v>
      </c>
      <c r="C25" s="92"/>
      <c r="D25" s="102"/>
      <c r="E25" s="93"/>
    </row>
    <row r="26" spans="1:7" x14ac:dyDescent="0.25">
      <c r="A26" s="94" t="s">
        <v>82</v>
      </c>
      <c r="B26" s="91"/>
      <c r="C26" s="91"/>
      <c r="D26" s="103" t="s">
        <v>84</v>
      </c>
      <c r="E26" s="95"/>
    </row>
    <row r="27" spans="1:7" x14ac:dyDescent="0.25">
      <c r="A27" s="96"/>
      <c r="B27" s="91"/>
      <c r="C27" s="91"/>
      <c r="D27" s="7"/>
      <c r="E27" s="95"/>
    </row>
    <row r="28" spans="1:7" x14ac:dyDescent="0.25">
      <c r="A28" s="96" t="s">
        <v>161</v>
      </c>
      <c r="B28" s="91">
        <v>10000</v>
      </c>
      <c r="C28" s="91"/>
      <c r="D28" s="141"/>
      <c r="E28" s="95"/>
    </row>
    <row r="29" spans="1:7" x14ac:dyDescent="0.25">
      <c r="A29" s="96" t="s">
        <v>162</v>
      </c>
      <c r="B29" s="91">
        <v>10000</v>
      </c>
      <c r="C29" s="91"/>
      <c r="D29" s="141"/>
      <c r="E29" s="95"/>
    </row>
    <row r="30" spans="1:7" x14ac:dyDescent="0.25">
      <c r="A30" s="96" t="s">
        <v>163</v>
      </c>
      <c r="B30" s="91">
        <v>5000</v>
      </c>
      <c r="C30" s="91"/>
      <c r="D30" s="141"/>
      <c r="E30" s="95"/>
    </row>
    <row r="31" spans="1:7" ht="15" x14ac:dyDescent="0.4">
      <c r="A31" s="97"/>
      <c r="B31" s="131"/>
      <c r="C31" s="91"/>
      <c r="D31" s="91"/>
      <c r="E31" s="95"/>
    </row>
    <row r="32" spans="1:7" x14ac:dyDescent="0.25">
      <c r="A32" s="98" t="s">
        <v>83</v>
      </c>
      <c r="B32" s="138">
        <f>SUM(B27:B31)</f>
        <v>25000</v>
      </c>
      <c r="C32" s="99"/>
      <c r="D32" s="139" t="s">
        <v>83</v>
      </c>
      <c r="E32" s="140">
        <f>SUM(E27:E28)</f>
        <v>0</v>
      </c>
    </row>
    <row r="33" spans="1:2" x14ac:dyDescent="0.25">
      <c r="A33" s="89"/>
      <c r="B33" s="91"/>
    </row>
    <row r="34" spans="1:2" x14ac:dyDescent="0.25">
      <c r="A34" s="101"/>
      <c r="B34" s="100"/>
    </row>
  </sheetData>
  <pageMargins left="1.4173228346456694" right="0.70866141732283472" top="1.1023622047244095" bottom="0.74803149606299213" header="0.31496062992125984" footer="0.31496062992125984"/>
  <pageSetup paperSize="9" scale="94" fitToHeight="0" orientation="landscape" horizontalDpi="300" verticalDpi="300" r:id="rId1"/>
  <headerFooter>
    <oddHeader>&amp;LFinance Meeting 
November 2023&amp;C&amp;"Arial,Bold"&amp;12Combined Budget Review  2023/24 and Proposed Budget 2024/25
&amp;R&amp;"Arial,Bold"&amp;11Finance 5</oddHeader>
    <oddFooter>&amp;LBudget 2024/25
November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Expenditure Charity</vt:lpstr>
      <vt:lpstr>Expenditure Council</vt:lpstr>
      <vt:lpstr>Income Charity</vt:lpstr>
      <vt:lpstr>Income Council</vt:lpstr>
      <vt:lpstr>Budget Forecast </vt:lpstr>
      <vt:lpstr>'Expenditure Charity'!Print_Area</vt:lpstr>
      <vt:lpstr>'Expenditure Council'!Print_Area</vt:lpstr>
      <vt:lpstr>'Expenditure Charity'!Print_Titles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emsrowley@gmail.com</cp:lastModifiedBy>
  <cp:lastPrinted>2023-11-13T13:02:16Z</cp:lastPrinted>
  <dcterms:created xsi:type="dcterms:W3CDTF">2002-11-27T05:05:00Z</dcterms:created>
  <dcterms:modified xsi:type="dcterms:W3CDTF">2025-01-14T11:02:24Z</dcterms:modified>
</cp:coreProperties>
</file>